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<sst xmlns="http://schemas.openxmlformats.org/spreadsheetml/2006/main" count="140" uniqueCount="50">
  <si>
    <t>№ п/п</t>
  </si>
  <si>
    <t>улица</t>
  </si>
  <si>
    <t>№ дома</t>
  </si>
  <si>
    <t>Сумма долга всего на 01.02.2010</t>
  </si>
  <si>
    <t>за ХОЛОДНОЕ ВОДОСНАБЖЕНИЕ</t>
  </si>
  <si>
    <t>за ВОДООТВЕДЕНИЕ</t>
  </si>
  <si>
    <t>за ГОРЯЧЕЕ ВОДОСНАБЖЕНИЕ</t>
  </si>
  <si>
    <t>за ОТОПЛЕНИЕ</t>
  </si>
  <si>
    <t>за КАПИТАЛЬНЫЙ РЕМОНТ</t>
  </si>
  <si>
    <t>за СОДЕРЖАНИЕ ЖИЛЬЯ</t>
  </si>
  <si>
    <t>за ВЫВОЗ ТБО</t>
  </si>
  <si>
    <t>СУММА ДОЛГА ПЕРЕД ГОРСЕТИ</t>
  </si>
  <si>
    <t>МУП "ГОРСЕТИ"</t>
  </si>
  <si>
    <t>СУММА ДОЛГА ПЕРЕД КУМИ</t>
  </si>
  <si>
    <t>СУММА ДОЛГА ПЕРЕД ОАО "ЖЭУ"</t>
  </si>
  <si>
    <t>ЖЭУ</t>
  </si>
  <si>
    <t>Ленина</t>
  </si>
  <si>
    <t>СУММА ДОЛГА ПЕРЕД МУП "ДЕЗ"</t>
  </si>
  <si>
    <t>СУММА ДОЛГА ПЕРЕД МУП "ПАЛАНАТЕПЛОСЕТЬ"</t>
  </si>
  <si>
    <t>всего долг по ЛЕНИНА</t>
  </si>
  <si>
    <t>Поротова</t>
  </si>
  <si>
    <t>15/А</t>
  </si>
  <si>
    <t>6/а</t>
  </si>
  <si>
    <t>6/б</t>
  </si>
  <si>
    <t>6/в</t>
  </si>
  <si>
    <t>8/а</t>
  </si>
  <si>
    <t>всего долг по ПОРОТОВА</t>
  </si>
  <si>
    <t>Пролетарский</t>
  </si>
  <si>
    <t>всего долг по ПРОЛЕТАРСОМУ</t>
  </si>
  <si>
    <t xml:space="preserve">Чубарова </t>
  </si>
  <si>
    <t>всего долг по ЧУБАРОВА</t>
  </si>
  <si>
    <t xml:space="preserve">Гиля </t>
  </si>
  <si>
    <t>всего долг по ГИЛЯ</t>
  </si>
  <si>
    <t>Комсомольская</t>
  </si>
  <si>
    <t>всего долг по КОМСОМОЛЬСКОЙ</t>
  </si>
  <si>
    <t>ОТОПЛЕНИЕ</t>
  </si>
  <si>
    <t>Обухова</t>
  </si>
  <si>
    <t>2/а</t>
  </si>
  <si>
    <t>всего долг по ОБУХОВА</t>
  </si>
  <si>
    <t>50 лет КК</t>
  </si>
  <si>
    <t>1/А</t>
  </si>
  <si>
    <t>всего долг по 50 лет КК</t>
  </si>
  <si>
    <t>всего долг по ПАЛАНЕ</t>
  </si>
  <si>
    <t>Бекерева</t>
  </si>
  <si>
    <t>Космонавтов</t>
  </si>
  <si>
    <t xml:space="preserve">Совхозная </t>
  </si>
  <si>
    <t>Строительный</t>
  </si>
  <si>
    <t>всего долг по СОВХОЗУ</t>
  </si>
  <si>
    <t>всего долг по ПАЛАНЕ и СОВХОЗУ</t>
  </si>
  <si>
    <t>НА 01.03.2010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</si>
</sst>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4" fontId="0" fillId="0" borderId="0" xfId="0" applyNumberFormat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top" wrapText="1"/>
    </xf>
    <xf numFmtId="4" fontId="0" fillId="0" borderId="3" xfId="0" applyNumberFormat="1" applyBorder="1" applyAlignment="1">
      <alignment horizontal="center" vertical="top" wrapText="1"/>
    </xf>
    <xf numFmtId="4" fontId="0" fillId="0" borderId="4" xfId="0" applyNumberFormat="1" applyBorder="1" applyAlignment="1">
      <alignment horizontal="center" vertical="top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4" fontId="0" fillId="0" borderId="7" xfId="0" applyNumberForma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4" fontId="1" fillId="2" borderId="8" xfId="0" applyNumberFormat="1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9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top" wrapTex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0" fillId="0" borderId="5" xfId="0" applyNumberForma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2" borderId="16" xfId="0" applyNumberFormat="1" applyFont="1" applyFill="1" applyBorder="1" applyAlignment="1">
      <alignment horizontal="center" vertical="center" wrapText="1"/>
    </xf>
    <xf numFmtId="0" fontId="1" fillId="2" borderId="17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horizontal="center" vertical="top" wrapText="1"/>
    </xf>
    <xf numFmtId="4" fontId="1" fillId="0" borderId="20" xfId="0" applyNumberFormat="1" applyFont="1" applyBorder="1" applyAlignment="1">
      <alignment horizontal="center" vertical="center" wrapText="1"/>
    </xf>
    <xf numFmtId="4" fontId="1" fillId="0" borderId="21" xfId="0" applyNumberFormat="1" applyFont="1" applyBorder="1" applyAlignment="1">
      <alignment horizontal="center" vertical="center" wrapText="1"/>
    </xf>
    <xf numFmtId="4" fontId="1" fillId="0" borderId="22" xfId="0" applyNumberFormat="1" applyFont="1" applyBorder="1" applyAlignment="1">
      <alignment horizontal="center" vertical="center" wrapText="1"/>
    </xf>
    <xf numFmtId="4" fontId="1" fillId="0" borderId="23" xfId="0" applyNumberFormat="1" applyFont="1" applyBorder="1" applyAlignment="1">
      <alignment horizontal="center" vertical="top" wrapText="1"/>
    </xf>
    <xf numFmtId="4" fontId="1" fillId="0" borderId="24" xfId="0" applyNumberFormat="1" applyFont="1" applyBorder="1" applyAlignment="1">
      <alignment horizontal="center" vertical="top" wrapText="1"/>
    </xf>
    <xf numFmtId="4" fontId="1" fillId="0" borderId="25" xfId="0" applyNumberFormat="1" applyFont="1" applyBorder="1" applyAlignment="1">
      <alignment horizontal="center" vertical="top" wrapText="1"/>
    </xf>
    <xf numFmtId="4" fontId="1" fillId="0" borderId="26" xfId="0" applyNumberFormat="1" applyFont="1" applyBorder="1" applyAlignment="1">
      <alignment horizontal="center" vertical="top" wrapText="1"/>
    </xf>
    <xf numFmtId="4" fontId="2" fillId="0" borderId="27" xfId="0" applyNumberFormat="1" applyFont="1" applyBorder="1" applyAlignment="1">
      <alignment horizontal="center" vertical="center" wrapText="1"/>
    </xf>
    <xf numFmtId="4" fontId="2" fillId="0" borderId="28" xfId="0" applyNumberFormat="1" applyFont="1" applyBorder="1" applyAlignment="1">
      <alignment horizontal="center" vertical="center" wrapText="1"/>
    </xf>
    <xf numFmtId="0" fontId="0" fillId="0" borderId="21" xfId="0" applyNumberForma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0" fontId="0" fillId="0" borderId="20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0"/>
  <sheetViews>
    <sheetView tabSelected="1" view="pageBreakPreview" zoomScale="75" zoomScaleSheetLayoutView="75" workbookViewId="0" topLeftCell="A1">
      <pane ySplit="4" topLeftCell="BM5" activePane="bottomLeft" state="frozen"/>
      <selection pane="topLeft" activeCell="A1" sqref="A1"/>
      <selection pane="bottomLeft" activeCell="A1" sqref="A1:D2"/>
    </sheetView>
  </sheetViews>
  <sheetFormatPr defaultColWidth="9.140625" defaultRowHeight="12.75"/>
  <cols>
    <col min="1" max="1" width="4.8515625" style="8" customWidth="1"/>
    <col min="2" max="2" width="20.00390625" style="1" customWidth="1"/>
    <col min="3" max="3" width="9.140625" style="8" customWidth="1"/>
    <col min="4" max="4" width="18.28125" style="11" customWidth="1"/>
    <col min="5" max="5" width="17.28125" style="1" customWidth="1"/>
    <col min="6" max="6" width="17.8515625" style="1" customWidth="1"/>
    <col min="7" max="7" width="16.8515625" style="1" customWidth="1"/>
    <col min="8" max="8" width="16.7109375" style="1" customWidth="1"/>
    <col min="9" max="9" width="18.8515625" style="6" customWidth="1"/>
    <col min="10" max="10" width="17.00390625" style="6" customWidth="1"/>
    <col min="11" max="11" width="15.421875" style="1" customWidth="1"/>
    <col min="12" max="12" width="15.57421875" style="1" customWidth="1"/>
    <col min="13" max="13" width="16.7109375" style="1" customWidth="1"/>
    <col min="14" max="14" width="15.57421875" style="1" customWidth="1"/>
    <col min="15" max="15" width="16.8515625" style="6" customWidth="1"/>
    <col min="16" max="16" width="16.7109375" style="6" customWidth="1"/>
    <col min="17" max="17" width="16.8515625" style="6" customWidth="1"/>
    <col min="18" max="16384" width="9.140625" style="1" customWidth="1"/>
  </cols>
  <sheetData>
    <row r="1" spans="1:4" ht="15.75" customHeight="1">
      <c r="A1" s="34" t="s">
        <v>49</v>
      </c>
      <c r="B1" s="34"/>
      <c r="C1" s="34"/>
      <c r="D1" s="34"/>
    </row>
    <row r="2" spans="1:4" ht="16.5" customHeight="1" thickBot="1">
      <c r="A2" s="35"/>
      <c r="B2" s="35"/>
      <c r="C2" s="35"/>
      <c r="D2" s="35"/>
    </row>
    <row r="3" spans="1:17" ht="12.75">
      <c r="A3" s="58" t="s">
        <v>0</v>
      </c>
      <c r="B3" s="56" t="s">
        <v>1</v>
      </c>
      <c r="C3" s="54" t="s">
        <v>2</v>
      </c>
      <c r="D3" s="52" t="s">
        <v>3</v>
      </c>
      <c r="E3" s="45" t="s">
        <v>12</v>
      </c>
      <c r="F3" s="46"/>
      <c r="G3" s="46"/>
      <c r="H3" s="47"/>
      <c r="I3" s="48" t="s">
        <v>11</v>
      </c>
      <c r="J3" s="50" t="s">
        <v>13</v>
      </c>
      <c r="K3" s="45" t="s">
        <v>15</v>
      </c>
      <c r="L3" s="46"/>
      <c r="M3" s="47"/>
      <c r="N3" s="26"/>
      <c r="O3" s="43" t="s">
        <v>14</v>
      </c>
      <c r="P3" s="43" t="s">
        <v>17</v>
      </c>
      <c r="Q3" s="43" t="s">
        <v>18</v>
      </c>
    </row>
    <row r="4" spans="1:17" ht="39" thickBot="1">
      <c r="A4" s="59"/>
      <c r="B4" s="57"/>
      <c r="C4" s="55"/>
      <c r="D4" s="53"/>
      <c r="E4" s="4" t="s">
        <v>4</v>
      </c>
      <c r="F4" s="3" t="s">
        <v>5</v>
      </c>
      <c r="G4" s="3" t="s">
        <v>6</v>
      </c>
      <c r="H4" s="5" t="s">
        <v>7</v>
      </c>
      <c r="I4" s="49"/>
      <c r="J4" s="51"/>
      <c r="K4" s="4" t="s">
        <v>9</v>
      </c>
      <c r="L4" s="3" t="s">
        <v>10</v>
      </c>
      <c r="M4" s="5" t="s">
        <v>8</v>
      </c>
      <c r="N4" s="27" t="s">
        <v>35</v>
      </c>
      <c r="O4" s="44"/>
      <c r="P4" s="44"/>
      <c r="Q4" s="44"/>
    </row>
    <row r="5" spans="1:17" ht="15.75">
      <c r="A5" s="9">
        <v>1</v>
      </c>
      <c r="B5" s="12" t="s">
        <v>16</v>
      </c>
      <c r="C5" s="14">
        <v>3</v>
      </c>
      <c r="D5" s="12">
        <f>I5+J5+O5+P5+Q5</f>
        <v>421548.56</v>
      </c>
      <c r="E5" s="2">
        <f>36669.99-134.35</f>
        <v>36535.64</v>
      </c>
      <c r="F5" s="2">
        <f>25025.13+243.42</f>
        <v>25268.55</v>
      </c>
      <c r="G5" s="2">
        <v>0</v>
      </c>
      <c r="H5" s="2">
        <v>220512.95</v>
      </c>
      <c r="I5" s="7">
        <f>H5+G5+F5+E5</f>
        <v>282317.14</v>
      </c>
      <c r="J5" s="7">
        <v>20748.08</v>
      </c>
      <c r="K5" s="2">
        <v>20898.42</v>
      </c>
      <c r="L5" s="2">
        <v>11740.63</v>
      </c>
      <c r="M5" s="2">
        <v>0</v>
      </c>
      <c r="N5" s="2">
        <v>0</v>
      </c>
      <c r="O5" s="7">
        <f>M5+L5+K5</f>
        <v>32639.049999999996</v>
      </c>
      <c r="P5" s="7">
        <f>940.79+64430.75</f>
        <v>65371.54</v>
      </c>
      <c r="Q5" s="7">
        <v>20472.75</v>
      </c>
    </row>
    <row r="6" spans="1:17" ht="15.75">
      <c r="A6" s="10">
        <f>A5+1</f>
        <v>2</v>
      </c>
      <c r="B6" s="12" t="s">
        <v>16</v>
      </c>
      <c r="C6" s="14">
        <v>5</v>
      </c>
      <c r="D6" s="12">
        <f aca="true" t="shared" si="0" ref="D6:D66">I6+J6+O6+P6+Q6</f>
        <v>292050.11000000004</v>
      </c>
      <c r="E6" s="2">
        <f>16569.27-1142.56</f>
        <v>15426.710000000001</v>
      </c>
      <c r="F6" s="2">
        <f>15814.83+826.66</f>
        <v>16641.49</v>
      </c>
      <c r="G6" s="2">
        <f>57258.74+317.65</f>
        <v>57576.39</v>
      </c>
      <c r="H6" s="2">
        <v>122488.48</v>
      </c>
      <c r="I6" s="7">
        <f aca="true" t="shared" si="1" ref="I6:I66">H6+G6+F6+E6</f>
        <v>212133.06999999998</v>
      </c>
      <c r="J6" s="7">
        <v>9377.45</v>
      </c>
      <c r="K6" s="2">
        <v>7622.03</v>
      </c>
      <c r="L6" s="2">
        <v>6510.3</v>
      </c>
      <c r="M6" s="2">
        <v>9219.74</v>
      </c>
      <c r="N6" s="2">
        <v>0</v>
      </c>
      <c r="O6" s="7">
        <f aca="true" t="shared" si="2" ref="O6:O66">M6+L6+K6</f>
        <v>23352.07</v>
      </c>
      <c r="P6" s="7">
        <f>100.36+28806.2</f>
        <v>28906.56</v>
      </c>
      <c r="Q6" s="7">
        <v>18280.96</v>
      </c>
    </row>
    <row r="7" spans="1:17" ht="15.75">
      <c r="A7" s="10">
        <f aca="true" t="shared" si="3" ref="A7:A66">A6+1</f>
        <v>3</v>
      </c>
      <c r="B7" s="12" t="s">
        <v>16</v>
      </c>
      <c r="C7" s="14">
        <v>6</v>
      </c>
      <c r="D7" s="12">
        <f t="shared" si="0"/>
        <v>218501.72999999998</v>
      </c>
      <c r="E7" s="2">
        <f>19096.58</f>
        <v>19096.58</v>
      </c>
      <c r="F7" s="2">
        <f>12859.32</f>
        <v>12859.32</v>
      </c>
      <c r="G7" s="2">
        <v>0</v>
      </c>
      <c r="H7" s="2">
        <v>102261.26</v>
      </c>
      <c r="I7" s="7">
        <f t="shared" si="1"/>
        <v>134217.15999999997</v>
      </c>
      <c r="J7" s="7">
        <v>12115.45</v>
      </c>
      <c r="K7" s="2">
        <v>7860.23</v>
      </c>
      <c r="L7" s="2">
        <v>5219.65</v>
      </c>
      <c r="M7" s="2">
        <v>8262.18</v>
      </c>
      <c r="N7" s="2">
        <v>0</v>
      </c>
      <c r="O7" s="7">
        <f t="shared" si="2"/>
        <v>21342.059999999998</v>
      </c>
      <c r="P7" s="7">
        <f>536.17+28886.18</f>
        <v>29422.35</v>
      </c>
      <c r="Q7" s="7">
        <v>21404.71</v>
      </c>
    </row>
    <row r="8" spans="1:17" ht="15.75">
      <c r="A8" s="10">
        <f t="shared" si="3"/>
        <v>4</v>
      </c>
      <c r="B8" s="13" t="s">
        <v>16</v>
      </c>
      <c r="C8" s="15">
        <v>7</v>
      </c>
      <c r="D8" s="12">
        <f t="shared" si="0"/>
        <v>98231.38</v>
      </c>
      <c r="E8" s="2">
        <v>4562.02</v>
      </c>
      <c r="F8" s="2">
        <v>1377.01</v>
      </c>
      <c r="G8" s="2">
        <v>0</v>
      </c>
      <c r="H8" s="2">
        <v>66821.72</v>
      </c>
      <c r="I8" s="7">
        <f t="shared" si="1"/>
        <v>72760.75</v>
      </c>
      <c r="J8" s="7">
        <v>4703.93</v>
      </c>
      <c r="K8" s="2">
        <v>3382.76</v>
      </c>
      <c r="L8" s="2">
        <v>1671.71</v>
      </c>
      <c r="M8" s="2">
        <v>3807.53</v>
      </c>
      <c r="N8" s="2">
        <v>0</v>
      </c>
      <c r="O8" s="7">
        <f t="shared" si="2"/>
        <v>8862</v>
      </c>
      <c r="P8" s="7">
        <v>6085.27</v>
      </c>
      <c r="Q8" s="7">
        <v>5819.43</v>
      </c>
    </row>
    <row r="9" spans="1:17" ht="15.75">
      <c r="A9" s="10">
        <f t="shared" si="3"/>
        <v>5</v>
      </c>
      <c r="B9" s="13" t="s">
        <v>16</v>
      </c>
      <c r="C9" s="15">
        <v>8</v>
      </c>
      <c r="D9" s="12">
        <f t="shared" si="0"/>
        <v>87618.25</v>
      </c>
      <c r="E9" s="2">
        <v>8045.39</v>
      </c>
      <c r="F9" s="2">
        <v>5664.85</v>
      </c>
      <c r="G9" s="2">
        <v>0</v>
      </c>
      <c r="H9" s="2">
        <v>43768.49</v>
      </c>
      <c r="I9" s="7">
        <f t="shared" si="1"/>
        <v>57478.729999999996</v>
      </c>
      <c r="J9" s="7">
        <v>8758.81</v>
      </c>
      <c r="K9" s="2">
        <v>3291.87</v>
      </c>
      <c r="L9" s="2">
        <v>2274.63</v>
      </c>
      <c r="M9" s="2">
        <v>8440.22</v>
      </c>
      <c r="N9" s="2">
        <v>0</v>
      </c>
      <c r="O9" s="7">
        <f t="shared" si="2"/>
        <v>14006.719999999998</v>
      </c>
      <c r="P9" s="7">
        <v>7373.99</v>
      </c>
      <c r="Q9" s="7">
        <v>0</v>
      </c>
    </row>
    <row r="10" spans="1:17" ht="15.75">
      <c r="A10" s="10">
        <f t="shared" si="3"/>
        <v>6</v>
      </c>
      <c r="B10" s="13" t="s">
        <v>16</v>
      </c>
      <c r="C10" s="15">
        <v>9</v>
      </c>
      <c r="D10" s="12">
        <f t="shared" si="0"/>
        <v>119889.56</v>
      </c>
      <c r="E10" s="2">
        <v>5799.82</v>
      </c>
      <c r="F10" s="2">
        <v>6656.14</v>
      </c>
      <c r="G10" s="2">
        <v>17320</v>
      </c>
      <c r="H10" s="2">
        <v>53397.82</v>
      </c>
      <c r="I10" s="7">
        <f t="shared" si="1"/>
        <v>83173.78</v>
      </c>
      <c r="J10" s="7">
        <v>6479.06</v>
      </c>
      <c r="K10" s="2">
        <v>1247.03</v>
      </c>
      <c r="L10" s="2">
        <v>1901.04</v>
      </c>
      <c r="M10" s="2">
        <v>3699</v>
      </c>
      <c r="N10" s="2">
        <v>0</v>
      </c>
      <c r="O10" s="7">
        <f t="shared" si="2"/>
        <v>6847.07</v>
      </c>
      <c r="P10" s="7">
        <v>5354.2</v>
      </c>
      <c r="Q10" s="7">
        <v>18035.45</v>
      </c>
    </row>
    <row r="11" spans="1:17" ht="15.75">
      <c r="A11" s="10">
        <f t="shared" si="3"/>
        <v>7</v>
      </c>
      <c r="B11" s="13" t="s">
        <v>16</v>
      </c>
      <c r="C11" s="15">
        <v>10</v>
      </c>
      <c r="D11" s="12">
        <f t="shared" si="0"/>
        <v>421548.56</v>
      </c>
      <c r="E11" s="2">
        <f>36669.99-134.35</f>
        <v>36535.64</v>
      </c>
      <c r="F11" s="2">
        <f>25025.13+243.42</f>
        <v>25268.55</v>
      </c>
      <c r="G11" s="2">
        <v>0</v>
      </c>
      <c r="H11" s="2">
        <v>220512.95</v>
      </c>
      <c r="I11" s="7">
        <f t="shared" si="1"/>
        <v>282317.14</v>
      </c>
      <c r="J11" s="7">
        <v>20748.08</v>
      </c>
      <c r="K11" s="2">
        <v>20898.42</v>
      </c>
      <c r="L11" s="2">
        <v>11740.63</v>
      </c>
      <c r="M11" s="2">
        <v>0</v>
      </c>
      <c r="N11" s="2">
        <v>0</v>
      </c>
      <c r="O11" s="7">
        <f t="shared" si="2"/>
        <v>32639.049999999996</v>
      </c>
      <c r="P11" s="7">
        <f>940.79+64430.75</f>
        <v>65371.54</v>
      </c>
      <c r="Q11" s="7">
        <v>20472.75</v>
      </c>
    </row>
    <row r="12" spans="1:17" ht="15.75">
      <c r="A12" s="10">
        <f t="shared" si="3"/>
        <v>8</v>
      </c>
      <c r="B12" s="13" t="s">
        <v>16</v>
      </c>
      <c r="C12" s="15">
        <v>11</v>
      </c>
      <c r="D12" s="12">
        <f t="shared" si="0"/>
        <v>117549.95999999999</v>
      </c>
      <c r="E12" s="2">
        <v>8948.72</v>
      </c>
      <c r="F12" s="2">
        <v>5574.3</v>
      </c>
      <c r="G12" s="2">
        <v>0</v>
      </c>
      <c r="H12" s="2">
        <v>62043.49</v>
      </c>
      <c r="I12" s="7">
        <f t="shared" si="1"/>
        <v>76566.51</v>
      </c>
      <c r="J12" s="7">
        <v>14312.71</v>
      </c>
      <c r="K12" s="2">
        <v>6295.77</v>
      </c>
      <c r="L12" s="2">
        <v>2505.44</v>
      </c>
      <c r="M12" s="2">
        <v>2959.66</v>
      </c>
      <c r="N12" s="2">
        <v>0</v>
      </c>
      <c r="O12" s="7">
        <f t="shared" si="2"/>
        <v>11760.87</v>
      </c>
      <c r="P12" s="7">
        <v>14909.87</v>
      </c>
      <c r="Q12" s="7">
        <v>0</v>
      </c>
    </row>
    <row r="13" spans="1:17" ht="15.75">
      <c r="A13" s="10">
        <f t="shared" si="3"/>
        <v>9</v>
      </c>
      <c r="B13" s="13" t="s">
        <v>16</v>
      </c>
      <c r="C13" s="15">
        <v>13</v>
      </c>
      <c r="D13" s="12">
        <f t="shared" si="0"/>
        <v>331226.6400000001</v>
      </c>
      <c r="E13" s="2">
        <f>27987.71+82.29</f>
        <v>28070</v>
      </c>
      <c r="F13" s="2">
        <v>33855.78</v>
      </c>
      <c r="G13" s="2">
        <f>95298.02+598.78</f>
        <v>95896.8</v>
      </c>
      <c r="H13" s="2">
        <v>137848.21</v>
      </c>
      <c r="I13" s="7">
        <f t="shared" si="1"/>
        <v>295670.79000000004</v>
      </c>
      <c r="J13" s="7">
        <v>9562.45</v>
      </c>
      <c r="K13" s="2">
        <v>17519.72</v>
      </c>
      <c r="L13" s="2">
        <v>6889.93</v>
      </c>
      <c r="M13" s="2">
        <v>0</v>
      </c>
      <c r="N13" s="2">
        <v>0</v>
      </c>
      <c r="O13" s="7">
        <f t="shared" si="2"/>
        <v>24409.65</v>
      </c>
      <c r="P13" s="7">
        <f>154.4+1429.35</f>
        <v>1583.75</v>
      </c>
      <c r="Q13" s="7">
        <v>0</v>
      </c>
    </row>
    <row r="14" spans="1:17" ht="15.75">
      <c r="A14" s="10">
        <f t="shared" si="3"/>
        <v>10</v>
      </c>
      <c r="B14" s="13" t="s">
        <v>16</v>
      </c>
      <c r="C14" s="15">
        <v>15</v>
      </c>
      <c r="D14" s="12">
        <f t="shared" si="0"/>
        <v>716631.17</v>
      </c>
      <c r="E14" s="2">
        <f>70758.5</f>
        <v>70758.5</v>
      </c>
      <c r="F14" s="2">
        <f>81625.15+1.24</f>
        <v>81626.39</v>
      </c>
      <c r="G14" s="2">
        <v>200624.9</v>
      </c>
      <c r="H14" s="2">
        <v>202069.92</v>
      </c>
      <c r="I14" s="7">
        <f t="shared" si="1"/>
        <v>555079.71</v>
      </c>
      <c r="J14" s="7">
        <v>24530.91</v>
      </c>
      <c r="K14" s="2">
        <v>25554.46</v>
      </c>
      <c r="L14" s="2">
        <v>15033.83</v>
      </c>
      <c r="M14" s="2">
        <v>8824.15</v>
      </c>
      <c r="N14" s="2">
        <v>0</v>
      </c>
      <c r="O14" s="7">
        <f t="shared" si="2"/>
        <v>49412.44</v>
      </c>
      <c r="P14" s="7">
        <f>1541.25+83521.21</f>
        <v>85062.46</v>
      </c>
      <c r="Q14" s="7">
        <v>2545.65</v>
      </c>
    </row>
    <row r="15" spans="1:17" ht="15.75">
      <c r="A15" s="10">
        <f t="shared" si="3"/>
        <v>11</v>
      </c>
      <c r="B15" s="13" t="s">
        <v>16</v>
      </c>
      <c r="C15" s="15">
        <v>17</v>
      </c>
      <c r="D15" s="12">
        <f t="shared" si="0"/>
        <v>258641.15999999995</v>
      </c>
      <c r="E15" s="2">
        <f>704.84+19152.5</f>
        <v>19857.34</v>
      </c>
      <c r="F15" s="2">
        <f>23114.45+554.41</f>
        <v>23668.86</v>
      </c>
      <c r="G15" s="2">
        <f>52517.82+350.84</f>
        <v>52868.659999999996</v>
      </c>
      <c r="H15" s="2">
        <v>100204.76</v>
      </c>
      <c r="I15" s="7">
        <f>H15+G15+F15+E15</f>
        <v>196599.61999999997</v>
      </c>
      <c r="J15" s="7">
        <v>9234.02</v>
      </c>
      <c r="K15" s="2">
        <v>16545.41</v>
      </c>
      <c r="L15" s="2">
        <v>6959.23</v>
      </c>
      <c r="M15" s="2">
        <v>13251.04</v>
      </c>
      <c r="N15" s="2">
        <v>0</v>
      </c>
      <c r="O15" s="7">
        <f>M15+L15+K15</f>
        <v>36755.68</v>
      </c>
      <c r="P15" s="7">
        <f>123.52+15928.32</f>
        <v>16051.84</v>
      </c>
      <c r="Q15" s="7">
        <v>0</v>
      </c>
    </row>
    <row r="16" spans="1:17" ht="15.75">
      <c r="A16" s="10">
        <f t="shared" si="3"/>
        <v>12</v>
      </c>
      <c r="B16" s="13" t="s">
        <v>16</v>
      </c>
      <c r="C16" s="15">
        <v>19</v>
      </c>
      <c r="D16" s="12">
        <f t="shared" si="0"/>
        <v>340437.18</v>
      </c>
      <c r="E16" s="2">
        <f>24512.33</f>
        <v>24512.33</v>
      </c>
      <c r="F16" s="2">
        <v>31064.97</v>
      </c>
      <c r="G16" s="2">
        <v>72460.82</v>
      </c>
      <c r="H16" s="2">
        <v>138073.28</v>
      </c>
      <c r="I16" s="7">
        <f>H16+G16+F16+E16</f>
        <v>266111.4</v>
      </c>
      <c r="J16" s="7">
        <v>4888.5</v>
      </c>
      <c r="K16" s="2">
        <v>6181.73</v>
      </c>
      <c r="L16" s="2">
        <v>8143.56</v>
      </c>
      <c r="M16" s="2">
        <v>22829.18</v>
      </c>
      <c r="N16" s="2">
        <v>0</v>
      </c>
      <c r="O16" s="7">
        <f>M16+L16+K16</f>
        <v>37154.47</v>
      </c>
      <c r="P16" s="7">
        <f>32.94+32249.87</f>
        <v>32282.809999999998</v>
      </c>
      <c r="Q16" s="7">
        <v>0</v>
      </c>
    </row>
    <row r="17" spans="1:17" ht="16.5" thickBot="1">
      <c r="A17" s="16">
        <f t="shared" si="3"/>
        <v>13</v>
      </c>
      <c r="B17" s="17" t="s">
        <v>16</v>
      </c>
      <c r="C17" s="18">
        <v>23</v>
      </c>
      <c r="D17" s="19">
        <f t="shared" si="0"/>
        <v>317537.87</v>
      </c>
      <c r="E17" s="20">
        <f>6106.11+668.89</f>
        <v>6775</v>
      </c>
      <c r="F17" s="20">
        <f>8272.37+79.54</f>
        <v>8351.910000000002</v>
      </c>
      <c r="G17" s="20">
        <f>25670.36+3148.71</f>
        <v>28819.07</v>
      </c>
      <c r="H17" s="20">
        <v>192437.26</v>
      </c>
      <c r="I17" s="21">
        <f t="shared" si="1"/>
        <v>236383.24000000002</v>
      </c>
      <c r="J17" s="21">
        <v>3031.71</v>
      </c>
      <c r="K17" s="20">
        <v>17890.07</v>
      </c>
      <c r="L17" s="20">
        <v>4810.99</v>
      </c>
      <c r="M17" s="20">
        <v>0</v>
      </c>
      <c r="N17" s="20">
        <v>0</v>
      </c>
      <c r="O17" s="21">
        <f t="shared" si="2"/>
        <v>22701.059999999998</v>
      </c>
      <c r="P17" s="21">
        <f>92.64+37219.37</f>
        <v>37312.01</v>
      </c>
      <c r="Q17" s="21">
        <v>18109.85</v>
      </c>
    </row>
    <row r="18" spans="1:17" s="6" customFormat="1" ht="16.5" thickBot="1">
      <c r="A18" s="36" t="s">
        <v>19</v>
      </c>
      <c r="B18" s="37"/>
      <c r="C18" s="38"/>
      <c r="D18" s="22">
        <f aca="true" t="shared" si="4" ref="D18:M18">SUM(D5:D17)</f>
        <v>3741412.1300000004</v>
      </c>
      <c r="E18" s="23">
        <f t="shared" si="4"/>
        <v>284923.69</v>
      </c>
      <c r="F18" s="23">
        <f t="shared" si="4"/>
        <v>277878.11999999994</v>
      </c>
      <c r="G18" s="23">
        <f t="shared" si="4"/>
        <v>525566.6399999999</v>
      </c>
      <c r="H18" s="23">
        <f t="shared" si="4"/>
        <v>1662440.5899999999</v>
      </c>
      <c r="I18" s="24">
        <f t="shared" si="4"/>
        <v>2750809.04</v>
      </c>
      <c r="J18" s="24">
        <f t="shared" si="4"/>
        <v>148491.15999999997</v>
      </c>
      <c r="K18" s="23">
        <f t="shared" si="4"/>
        <v>155187.92</v>
      </c>
      <c r="L18" s="23">
        <f t="shared" si="4"/>
        <v>85401.57</v>
      </c>
      <c r="M18" s="23">
        <f t="shared" si="4"/>
        <v>81292.70000000001</v>
      </c>
      <c r="N18" s="23"/>
      <c r="O18" s="24">
        <f>SUM(O5:O17)</f>
        <v>321882.19</v>
      </c>
      <c r="P18" s="24">
        <f>SUM(P5:P17)</f>
        <v>395088.19000000006</v>
      </c>
      <c r="Q18" s="25">
        <f>SUM(Q5:Q17)</f>
        <v>125141.54999999999</v>
      </c>
    </row>
    <row r="19" spans="1:17" ht="15.75">
      <c r="A19" s="9">
        <f>A17+1</f>
        <v>14</v>
      </c>
      <c r="B19" s="12" t="s">
        <v>20</v>
      </c>
      <c r="C19" s="14" t="s">
        <v>21</v>
      </c>
      <c r="D19" s="12">
        <f t="shared" si="0"/>
        <v>439244.23</v>
      </c>
      <c r="E19" s="2">
        <f>18136.36+1444.69</f>
        <v>19581.05</v>
      </c>
      <c r="F19" s="2">
        <v>20884.7</v>
      </c>
      <c r="G19" s="2">
        <f>56776.13+7746.24</f>
        <v>64522.369999999995</v>
      </c>
      <c r="H19" s="2">
        <v>192985.62</v>
      </c>
      <c r="I19" s="7">
        <f t="shared" si="1"/>
        <v>297973.74</v>
      </c>
      <c r="J19" s="7">
        <v>16195.88</v>
      </c>
      <c r="K19" s="2">
        <v>77192.14</v>
      </c>
      <c r="L19" s="2">
        <v>8999.55</v>
      </c>
      <c r="M19" s="2">
        <v>0</v>
      </c>
      <c r="N19" s="2">
        <v>0</v>
      </c>
      <c r="O19" s="7">
        <f t="shared" si="2"/>
        <v>86191.69</v>
      </c>
      <c r="P19" s="7">
        <f>92.64+15478.77</f>
        <v>15571.41</v>
      </c>
      <c r="Q19" s="7">
        <v>23311.51</v>
      </c>
    </row>
    <row r="20" spans="1:17" ht="15.75">
      <c r="A20" s="10">
        <f t="shared" si="3"/>
        <v>15</v>
      </c>
      <c r="B20" s="13" t="s">
        <v>20</v>
      </c>
      <c r="C20" s="15">
        <v>33</v>
      </c>
      <c r="D20" s="12">
        <f t="shared" si="0"/>
        <v>283448.97</v>
      </c>
      <c r="E20" s="2">
        <f>20397.31+173.55</f>
        <v>20570.86</v>
      </c>
      <c r="F20" s="2">
        <v>21474.96</v>
      </c>
      <c r="G20" s="2">
        <f>69685.27+1861.95</f>
        <v>71547.22</v>
      </c>
      <c r="H20" s="2">
        <v>138484.7</v>
      </c>
      <c r="I20" s="7">
        <f t="shared" si="1"/>
        <v>252077.74</v>
      </c>
      <c r="J20" s="7">
        <v>12593.76</v>
      </c>
      <c r="K20" s="2">
        <v>497.72</v>
      </c>
      <c r="L20" s="2">
        <v>8768.7</v>
      </c>
      <c r="M20" s="2">
        <v>1500.57</v>
      </c>
      <c r="N20" s="2">
        <v>0</v>
      </c>
      <c r="O20" s="7">
        <f t="shared" si="2"/>
        <v>10766.99</v>
      </c>
      <c r="P20" s="7">
        <f>478.64+7531.84</f>
        <v>8010.4800000000005</v>
      </c>
      <c r="Q20" s="7">
        <v>0</v>
      </c>
    </row>
    <row r="21" spans="1:17" ht="15.75">
      <c r="A21" s="10">
        <f t="shared" si="3"/>
        <v>16</v>
      </c>
      <c r="B21" s="13" t="s">
        <v>20</v>
      </c>
      <c r="C21" s="15">
        <v>35</v>
      </c>
      <c r="D21" s="12">
        <f t="shared" si="0"/>
        <v>374388.38000000006</v>
      </c>
      <c r="E21" s="2">
        <f>19199.53+969.98</f>
        <v>20169.51</v>
      </c>
      <c r="F21" s="2">
        <f>22234+284.08</f>
        <v>22518.08</v>
      </c>
      <c r="G21" s="2">
        <f>53448.44+1055.57</f>
        <v>54504.01</v>
      </c>
      <c r="H21" s="2">
        <v>161856.81</v>
      </c>
      <c r="I21" s="7">
        <f t="shared" si="1"/>
        <v>259048.41000000003</v>
      </c>
      <c r="J21" s="7">
        <v>2150.96</v>
      </c>
      <c r="K21" s="2">
        <v>7195.43</v>
      </c>
      <c r="L21" s="2">
        <v>9591.68</v>
      </c>
      <c r="M21" s="2">
        <v>23271.5</v>
      </c>
      <c r="N21" s="2">
        <v>0</v>
      </c>
      <c r="O21" s="7">
        <f t="shared" si="2"/>
        <v>40058.61</v>
      </c>
      <c r="P21" s="7">
        <f>40.66+58961.12</f>
        <v>59001.780000000006</v>
      </c>
      <c r="Q21" s="7">
        <v>14128.62</v>
      </c>
    </row>
    <row r="22" spans="1:17" ht="15.75">
      <c r="A22" s="10">
        <f t="shared" si="3"/>
        <v>17</v>
      </c>
      <c r="B22" s="13" t="s">
        <v>20</v>
      </c>
      <c r="C22" s="15" t="s">
        <v>22</v>
      </c>
      <c r="D22" s="12">
        <f t="shared" si="0"/>
        <v>75288.81</v>
      </c>
      <c r="E22" s="2">
        <v>5045.5</v>
      </c>
      <c r="F22" s="2">
        <v>6389.57</v>
      </c>
      <c r="G22" s="2">
        <v>10981.24</v>
      </c>
      <c r="H22" s="2">
        <v>49371.74</v>
      </c>
      <c r="I22" s="7">
        <f t="shared" si="1"/>
        <v>71788.04999999999</v>
      </c>
      <c r="J22" s="7">
        <v>4073.1</v>
      </c>
      <c r="K22" s="2">
        <v>0</v>
      </c>
      <c r="L22" s="2">
        <v>-572.34</v>
      </c>
      <c r="M22" s="2">
        <v>0</v>
      </c>
      <c r="N22" s="2">
        <v>0</v>
      </c>
      <c r="O22" s="7">
        <f t="shared" si="2"/>
        <v>-572.34</v>
      </c>
      <c r="P22" s="7">
        <v>0</v>
      </c>
      <c r="Q22" s="7">
        <v>0</v>
      </c>
    </row>
    <row r="23" spans="1:17" ht="15.75">
      <c r="A23" s="10">
        <f t="shared" si="3"/>
        <v>18</v>
      </c>
      <c r="B23" s="13" t="s">
        <v>20</v>
      </c>
      <c r="C23" s="15" t="s">
        <v>23</v>
      </c>
      <c r="D23" s="12">
        <f t="shared" si="0"/>
        <v>27723.159999999996</v>
      </c>
      <c r="E23" s="2">
        <f>584+3236.74</f>
        <v>3820.74</v>
      </c>
      <c r="F23" s="2">
        <v>2728.84</v>
      </c>
      <c r="G23" s="2">
        <v>2151.35</v>
      </c>
      <c r="H23" s="2">
        <v>18314.16</v>
      </c>
      <c r="I23" s="7">
        <f t="shared" si="1"/>
        <v>27015.089999999997</v>
      </c>
      <c r="J23" s="7">
        <v>0</v>
      </c>
      <c r="K23" s="2">
        <v>0</v>
      </c>
      <c r="L23" s="2">
        <v>708.07</v>
      </c>
      <c r="M23" s="2">
        <v>0</v>
      </c>
      <c r="N23" s="2">
        <v>0</v>
      </c>
      <c r="O23" s="7">
        <f t="shared" si="2"/>
        <v>708.07</v>
      </c>
      <c r="P23" s="7">
        <v>0</v>
      </c>
      <c r="Q23" s="7">
        <v>0</v>
      </c>
    </row>
    <row r="24" spans="1:17" ht="15.75">
      <c r="A24" s="10">
        <f t="shared" si="3"/>
        <v>19</v>
      </c>
      <c r="B24" s="13" t="s">
        <v>20</v>
      </c>
      <c r="C24" s="15" t="s">
        <v>24</v>
      </c>
      <c r="D24" s="12">
        <f t="shared" si="0"/>
        <v>27348.54</v>
      </c>
      <c r="E24" s="2">
        <f>1168-16.46</f>
        <v>1151.54</v>
      </c>
      <c r="F24" s="2">
        <v>847.18</v>
      </c>
      <c r="G24" s="2">
        <f>4302.7-265.17</f>
        <v>4037.5299999999997</v>
      </c>
      <c r="H24" s="2">
        <v>20369.75</v>
      </c>
      <c r="I24" s="7">
        <f t="shared" si="1"/>
        <v>26406</v>
      </c>
      <c r="J24" s="7">
        <v>659.58</v>
      </c>
      <c r="K24" s="2">
        <v>0</v>
      </c>
      <c r="L24" s="2">
        <v>282.96</v>
      </c>
      <c r="M24" s="2">
        <v>0</v>
      </c>
      <c r="N24" s="2">
        <v>0</v>
      </c>
      <c r="O24" s="7">
        <f t="shared" si="2"/>
        <v>282.96</v>
      </c>
      <c r="P24" s="7">
        <v>0</v>
      </c>
      <c r="Q24" s="7">
        <v>0</v>
      </c>
    </row>
    <row r="25" spans="1:17" ht="16.5" thickBot="1">
      <c r="A25" s="10">
        <f t="shared" si="3"/>
        <v>20</v>
      </c>
      <c r="B25" s="13" t="s">
        <v>20</v>
      </c>
      <c r="C25" s="15" t="s">
        <v>25</v>
      </c>
      <c r="D25" s="12">
        <f t="shared" si="0"/>
        <v>14263.550000000001</v>
      </c>
      <c r="E25" s="2">
        <v>798.04</v>
      </c>
      <c r="F25" s="2">
        <v>509.9</v>
      </c>
      <c r="G25" s="2">
        <v>0</v>
      </c>
      <c r="H25" s="2">
        <v>15312.37</v>
      </c>
      <c r="I25" s="7">
        <f t="shared" si="1"/>
        <v>16620.31</v>
      </c>
      <c r="J25" s="7">
        <v>0</v>
      </c>
      <c r="K25" s="2">
        <v>0</v>
      </c>
      <c r="L25" s="2">
        <v>-2356.76</v>
      </c>
      <c r="M25" s="2">
        <v>0</v>
      </c>
      <c r="N25" s="2">
        <v>0</v>
      </c>
      <c r="O25" s="7">
        <f t="shared" si="2"/>
        <v>-2356.76</v>
      </c>
      <c r="P25" s="7">
        <v>0</v>
      </c>
      <c r="Q25" s="7">
        <v>0</v>
      </c>
    </row>
    <row r="26" spans="1:17" s="6" customFormat="1" ht="16.5" thickBot="1">
      <c r="A26" s="36" t="s">
        <v>26</v>
      </c>
      <c r="B26" s="37"/>
      <c r="C26" s="38"/>
      <c r="D26" s="22">
        <f aca="true" t="shared" si="5" ref="D26:M26">SUM(D19:D25)</f>
        <v>1241705.6400000001</v>
      </c>
      <c r="E26" s="23">
        <f t="shared" si="5"/>
        <v>71137.23999999999</v>
      </c>
      <c r="F26" s="23">
        <f t="shared" si="5"/>
        <v>75353.22999999998</v>
      </c>
      <c r="G26" s="23">
        <f t="shared" si="5"/>
        <v>207743.72</v>
      </c>
      <c r="H26" s="23">
        <f t="shared" si="5"/>
        <v>596695.15</v>
      </c>
      <c r="I26" s="24">
        <f t="shared" si="5"/>
        <v>950929.34</v>
      </c>
      <c r="J26" s="24">
        <f t="shared" si="5"/>
        <v>35673.28</v>
      </c>
      <c r="K26" s="23">
        <f t="shared" si="5"/>
        <v>84885.29000000001</v>
      </c>
      <c r="L26" s="23">
        <f t="shared" si="5"/>
        <v>25421.86</v>
      </c>
      <c r="M26" s="23">
        <f t="shared" si="5"/>
        <v>24772.07</v>
      </c>
      <c r="N26" s="23"/>
      <c r="O26" s="24">
        <f>SUM(O19:O25)</f>
        <v>135079.22</v>
      </c>
      <c r="P26" s="24">
        <f>SUM(P19:P25)</f>
        <v>82583.67000000001</v>
      </c>
      <c r="Q26" s="25">
        <f>SUM(Q19:Q25)</f>
        <v>37440.13</v>
      </c>
    </row>
    <row r="27" spans="1:17" ht="18" customHeight="1">
      <c r="A27" s="10">
        <f>A25+1</f>
        <v>21</v>
      </c>
      <c r="B27" s="13" t="s">
        <v>27</v>
      </c>
      <c r="C27" s="15">
        <v>10</v>
      </c>
      <c r="D27" s="12">
        <f t="shared" si="0"/>
        <v>375561.05999999994</v>
      </c>
      <c r="E27" s="2">
        <f>29522.28+600.31</f>
        <v>30122.59</v>
      </c>
      <c r="F27" s="2">
        <v>33386.18</v>
      </c>
      <c r="G27" s="2">
        <f>88600.72+1024.77</f>
        <v>89625.49</v>
      </c>
      <c r="H27" s="2">
        <v>120906.68</v>
      </c>
      <c r="I27" s="7">
        <f t="shared" si="1"/>
        <v>274040.94</v>
      </c>
      <c r="J27" s="7">
        <v>19088.54</v>
      </c>
      <c r="K27" s="2">
        <v>9393.79</v>
      </c>
      <c r="L27" s="2">
        <v>8955.4</v>
      </c>
      <c r="M27" s="2">
        <v>8871.23</v>
      </c>
      <c r="N27" s="2">
        <v>0</v>
      </c>
      <c r="O27" s="7">
        <f t="shared" si="2"/>
        <v>27220.42</v>
      </c>
      <c r="P27" s="7">
        <f>455.39+38772.1</f>
        <v>39227.49</v>
      </c>
      <c r="Q27" s="7">
        <v>15983.67</v>
      </c>
    </row>
    <row r="28" spans="1:17" ht="15.75">
      <c r="A28" s="10">
        <f t="shared" si="3"/>
        <v>22</v>
      </c>
      <c r="B28" s="13" t="s">
        <v>27</v>
      </c>
      <c r="C28" s="15">
        <v>12</v>
      </c>
      <c r="D28" s="12">
        <f t="shared" si="0"/>
        <v>329415.13</v>
      </c>
      <c r="E28" s="2">
        <v>12560.75</v>
      </c>
      <c r="F28" s="2">
        <v>14242.41</v>
      </c>
      <c r="G28" s="2">
        <v>37399.53</v>
      </c>
      <c r="H28" s="2">
        <v>147326.67</v>
      </c>
      <c r="I28" s="7">
        <f t="shared" si="1"/>
        <v>211529.36000000002</v>
      </c>
      <c r="J28" s="7">
        <v>14256.67</v>
      </c>
      <c r="K28" s="2">
        <v>13298.02</v>
      </c>
      <c r="L28" s="2">
        <v>4710.92</v>
      </c>
      <c r="M28" s="2">
        <v>15856.71</v>
      </c>
      <c r="N28" s="2">
        <v>0</v>
      </c>
      <c r="O28" s="7">
        <f t="shared" si="2"/>
        <v>33865.649999999994</v>
      </c>
      <c r="P28" s="7">
        <f>463.2+54426.63</f>
        <v>54889.829999999994</v>
      </c>
      <c r="Q28" s="7">
        <v>14873.62</v>
      </c>
    </row>
    <row r="29" spans="1:17" ht="16.5" thickBot="1">
      <c r="A29" s="10">
        <f t="shared" si="3"/>
        <v>23</v>
      </c>
      <c r="B29" s="13" t="s">
        <v>27</v>
      </c>
      <c r="C29" s="15">
        <v>14</v>
      </c>
      <c r="D29" s="12">
        <f t="shared" si="0"/>
        <v>275527.86000000004</v>
      </c>
      <c r="E29" s="2">
        <f>549.64+11888.07</f>
        <v>12437.71</v>
      </c>
      <c r="F29" s="2">
        <f>14092.36+268.74</f>
        <v>14361.1</v>
      </c>
      <c r="G29" s="2">
        <f>37790.22+2196.77</f>
        <v>39986.99</v>
      </c>
      <c r="H29" s="2">
        <v>125433.26</v>
      </c>
      <c r="I29" s="7">
        <f t="shared" si="1"/>
        <v>192219.06</v>
      </c>
      <c r="J29" s="7">
        <v>14647.36</v>
      </c>
      <c r="K29" s="2">
        <v>14651.47</v>
      </c>
      <c r="L29" s="2">
        <v>6884.33</v>
      </c>
      <c r="M29" s="2">
        <v>14813.77</v>
      </c>
      <c r="N29" s="2">
        <v>0</v>
      </c>
      <c r="O29" s="7">
        <f t="shared" si="2"/>
        <v>36349.57</v>
      </c>
      <c r="P29" s="7">
        <f>448.7+20905.08</f>
        <v>21353.780000000002</v>
      </c>
      <c r="Q29" s="7">
        <v>10958.09</v>
      </c>
    </row>
    <row r="30" spans="1:17" s="6" customFormat="1" ht="16.5" thickBot="1">
      <c r="A30" s="36" t="s">
        <v>28</v>
      </c>
      <c r="B30" s="37"/>
      <c r="C30" s="38"/>
      <c r="D30" s="22">
        <f aca="true" t="shared" si="6" ref="D30:M30">SUM(D27:D29)</f>
        <v>980504.05</v>
      </c>
      <c r="E30" s="23">
        <f t="shared" si="6"/>
        <v>55121.049999999996</v>
      </c>
      <c r="F30" s="23">
        <f t="shared" si="6"/>
        <v>61989.689999999995</v>
      </c>
      <c r="G30" s="23">
        <f t="shared" si="6"/>
        <v>167012.01</v>
      </c>
      <c r="H30" s="23">
        <f t="shared" si="6"/>
        <v>393666.61</v>
      </c>
      <c r="I30" s="24">
        <f t="shared" si="6"/>
        <v>677789.3600000001</v>
      </c>
      <c r="J30" s="24">
        <f t="shared" si="6"/>
        <v>47992.57</v>
      </c>
      <c r="K30" s="23">
        <f t="shared" si="6"/>
        <v>37343.28</v>
      </c>
      <c r="L30" s="23">
        <f t="shared" si="6"/>
        <v>20550.65</v>
      </c>
      <c r="M30" s="23">
        <f t="shared" si="6"/>
        <v>39541.71</v>
      </c>
      <c r="N30" s="23"/>
      <c r="O30" s="24">
        <f>SUM(O27:O29)</f>
        <v>97435.63999999998</v>
      </c>
      <c r="P30" s="24">
        <f>SUM(P27:P29)</f>
        <v>115471.09999999999</v>
      </c>
      <c r="Q30" s="25">
        <f>SUM(Q27:Q29)</f>
        <v>41815.380000000005</v>
      </c>
    </row>
    <row r="31" spans="1:17" ht="15.75">
      <c r="A31" s="10">
        <f>A29+1</f>
        <v>24</v>
      </c>
      <c r="B31" s="13" t="s">
        <v>29</v>
      </c>
      <c r="C31" s="15">
        <v>1</v>
      </c>
      <c r="D31" s="12">
        <f t="shared" si="0"/>
        <v>238138.58</v>
      </c>
      <c r="E31" s="2">
        <f>14622.03-303.38</f>
        <v>14318.650000000001</v>
      </c>
      <c r="F31" s="2">
        <v>17816.94</v>
      </c>
      <c r="G31" s="2">
        <f>40465.95</f>
        <v>40465.95</v>
      </c>
      <c r="H31" s="2">
        <v>110480.8</v>
      </c>
      <c r="I31" s="7">
        <f t="shared" si="1"/>
        <v>183082.34</v>
      </c>
      <c r="J31" s="7">
        <v>6846.78</v>
      </c>
      <c r="K31" s="2">
        <v>20687.28</v>
      </c>
      <c r="L31" s="2">
        <v>5911</v>
      </c>
      <c r="M31" s="2">
        <v>0</v>
      </c>
      <c r="N31" s="2">
        <v>0</v>
      </c>
      <c r="O31" s="7">
        <f t="shared" si="2"/>
        <v>26598.28</v>
      </c>
      <c r="P31" s="7">
        <f>92.64+19790.49</f>
        <v>19883.13</v>
      </c>
      <c r="Q31" s="7">
        <v>1728.05</v>
      </c>
    </row>
    <row r="32" spans="1:17" ht="15.75">
      <c r="A32" s="10">
        <f t="shared" si="3"/>
        <v>25</v>
      </c>
      <c r="B32" s="13" t="s">
        <v>29</v>
      </c>
      <c r="C32" s="15">
        <v>3</v>
      </c>
      <c r="D32" s="12">
        <f t="shared" si="0"/>
        <v>366784.32</v>
      </c>
      <c r="E32" s="2">
        <f>413.56+10531.08</f>
        <v>10944.64</v>
      </c>
      <c r="F32" s="2">
        <f>251.7+12209.95</f>
        <v>12461.650000000001</v>
      </c>
      <c r="G32" s="2">
        <f>38637.4+2313.09</f>
        <v>40950.490000000005</v>
      </c>
      <c r="H32" s="2">
        <v>177193.59</v>
      </c>
      <c r="I32" s="7">
        <f t="shared" si="1"/>
        <v>241550.37</v>
      </c>
      <c r="J32" s="7">
        <v>577.42</v>
      </c>
      <c r="K32" s="2">
        <v>28131.9</v>
      </c>
      <c r="L32" s="2">
        <v>6902.75</v>
      </c>
      <c r="M32" s="2">
        <v>0</v>
      </c>
      <c r="N32" s="2">
        <v>0</v>
      </c>
      <c r="O32" s="7">
        <f t="shared" si="2"/>
        <v>35034.65</v>
      </c>
      <c r="P32" s="7">
        <f>138.96+73077.31</f>
        <v>73216.27</v>
      </c>
      <c r="Q32" s="7">
        <v>16405.61</v>
      </c>
    </row>
    <row r="33" spans="1:17" ht="15.75">
      <c r="A33" s="10">
        <f t="shared" si="3"/>
        <v>26</v>
      </c>
      <c r="B33" s="13" t="s">
        <v>29</v>
      </c>
      <c r="C33" s="15">
        <v>5</v>
      </c>
      <c r="D33" s="12">
        <f t="shared" si="0"/>
        <v>454989.6600000001</v>
      </c>
      <c r="E33" s="2">
        <f>18606.23-508.54</f>
        <v>18097.69</v>
      </c>
      <c r="F33" s="2">
        <v>13271.14</v>
      </c>
      <c r="G33" s="2">
        <f>58272.13-383.81</f>
        <v>57888.32</v>
      </c>
      <c r="H33" s="2">
        <v>227017.82</v>
      </c>
      <c r="I33" s="7">
        <f t="shared" si="1"/>
        <v>316274.97000000003</v>
      </c>
      <c r="J33" s="7">
        <v>9383.92</v>
      </c>
      <c r="K33" s="2">
        <v>18273.09</v>
      </c>
      <c r="L33" s="2">
        <v>9080</v>
      </c>
      <c r="M33" s="2">
        <v>27847.19</v>
      </c>
      <c r="N33" s="2">
        <v>0</v>
      </c>
      <c r="O33" s="7">
        <f t="shared" si="2"/>
        <v>55200.28</v>
      </c>
      <c r="P33" s="7">
        <f>23.16+48006.43</f>
        <v>48029.590000000004</v>
      </c>
      <c r="Q33" s="7">
        <v>26100.9</v>
      </c>
    </row>
    <row r="34" spans="1:17" ht="15.75">
      <c r="A34" s="10">
        <f t="shared" si="3"/>
        <v>27</v>
      </c>
      <c r="B34" s="13" t="s">
        <v>29</v>
      </c>
      <c r="C34" s="15">
        <v>8</v>
      </c>
      <c r="D34" s="12">
        <f t="shared" si="0"/>
        <v>115961.25</v>
      </c>
      <c r="E34" s="2">
        <f>3940.17+219.44</f>
        <v>4159.61</v>
      </c>
      <c r="F34" s="2">
        <f>1598.6+83.9</f>
        <v>1682.5</v>
      </c>
      <c r="G34" s="2">
        <f>13663.76+513.24</f>
        <v>14177</v>
      </c>
      <c r="H34" s="2">
        <v>71293.15</v>
      </c>
      <c r="I34" s="7">
        <f t="shared" si="1"/>
        <v>91312.26</v>
      </c>
      <c r="J34" s="7">
        <v>777.39</v>
      </c>
      <c r="K34" s="2">
        <v>-385.84</v>
      </c>
      <c r="L34" s="2">
        <v>2023.53</v>
      </c>
      <c r="M34" s="2">
        <v>9124.98</v>
      </c>
      <c r="N34" s="2">
        <v>0</v>
      </c>
      <c r="O34" s="7">
        <f t="shared" si="2"/>
        <v>10762.67</v>
      </c>
      <c r="P34" s="7">
        <v>13108.93</v>
      </c>
      <c r="Q34" s="7">
        <v>0</v>
      </c>
    </row>
    <row r="35" spans="1:17" ht="15.75">
      <c r="A35" s="10">
        <f t="shared" si="3"/>
        <v>28</v>
      </c>
      <c r="B35" s="13" t="s">
        <v>29</v>
      </c>
      <c r="C35" s="15">
        <v>11</v>
      </c>
      <c r="D35" s="12">
        <f t="shared" si="0"/>
        <v>130183.64</v>
      </c>
      <c r="E35" s="2">
        <f>9348.1</f>
        <v>9348.1</v>
      </c>
      <c r="F35" s="2">
        <f>40141.77</f>
        <v>40141.77</v>
      </c>
      <c r="G35" s="2">
        <v>0</v>
      </c>
      <c r="H35" s="2">
        <f>46407.83</f>
        <v>46407.83</v>
      </c>
      <c r="I35" s="7">
        <f t="shared" si="1"/>
        <v>95897.70000000001</v>
      </c>
      <c r="J35" s="7">
        <v>13092.33</v>
      </c>
      <c r="K35" s="2">
        <v>3669.56</v>
      </c>
      <c r="L35" s="2">
        <v>5182.52</v>
      </c>
      <c r="M35" s="2">
        <v>680.71</v>
      </c>
      <c r="N35" s="2">
        <v>0</v>
      </c>
      <c r="O35" s="7">
        <f t="shared" si="2"/>
        <v>9532.79</v>
      </c>
      <c r="P35" s="7">
        <f>138.96+7800.35</f>
        <v>7939.31</v>
      </c>
      <c r="Q35" s="7">
        <v>3721.51</v>
      </c>
    </row>
    <row r="36" spans="1:17" ht="15.75">
      <c r="A36" s="10">
        <f t="shared" si="3"/>
        <v>29</v>
      </c>
      <c r="B36" s="13" t="s">
        <v>29</v>
      </c>
      <c r="C36" s="15">
        <v>12</v>
      </c>
      <c r="D36" s="12">
        <f t="shared" si="0"/>
        <v>557914.4</v>
      </c>
      <c r="E36" s="2">
        <f>32767.89+154.43</f>
        <v>32922.32</v>
      </c>
      <c r="F36" s="2">
        <f>251.7+38920.26</f>
        <v>39171.96</v>
      </c>
      <c r="G36" s="2">
        <v>91646.61</v>
      </c>
      <c r="H36" s="2">
        <v>195768.84</v>
      </c>
      <c r="I36" s="7">
        <f t="shared" si="1"/>
        <v>359509.73000000004</v>
      </c>
      <c r="J36" s="7">
        <v>9399.12</v>
      </c>
      <c r="K36" s="2">
        <v>21049.85</v>
      </c>
      <c r="L36" s="2">
        <v>9703.27</v>
      </c>
      <c r="M36" s="2">
        <v>31974.16</v>
      </c>
      <c r="N36" s="2">
        <v>0</v>
      </c>
      <c r="O36" s="7">
        <f t="shared" si="2"/>
        <v>62727.28</v>
      </c>
      <c r="P36" s="7">
        <f>599.6+72198.96</f>
        <v>72798.56000000001</v>
      </c>
      <c r="Q36" s="7">
        <v>53479.71</v>
      </c>
    </row>
    <row r="37" spans="1:17" ht="15.75">
      <c r="A37" s="10">
        <v>30</v>
      </c>
      <c r="B37" s="13" t="s">
        <v>29</v>
      </c>
      <c r="C37" s="15">
        <v>13</v>
      </c>
      <c r="D37" s="12">
        <f>I37+J37+O37+P37+Q37</f>
        <v>25349.53</v>
      </c>
      <c r="E37" s="2">
        <v>517.6</v>
      </c>
      <c r="F37" s="2">
        <v>4843.28</v>
      </c>
      <c r="G37" s="2">
        <v>0</v>
      </c>
      <c r="H37" s="2">
        <v>12588.04</v>
      </c>
      <c r="I37" s="7">
        <f>H37+G37+F37+E37</f>
        <v>17948.92</v>
      </c>
      <c r="J37" s="7">
        <v>0</v>
      </c>
      <c r="K37" s="2">
        <v>-1180.31</v>
      </c>
      <c r="L37" s="2">
        <v>152.89</v>
      </c>
      <c r="M37" s="2">
        <v>0</v>
      </c>
      <c r="N37" s="2">
        <v>0</v>
      </c>
      <c r="O37" s="7">
        <f>M37+L37+K37</f>
        <v>-1027.42</v>
      </c>
      <c r="P37" s="7">
        <v>8428.03</v>
      </c>
      <c r="Q37" s="7">
        <v>0</v>
      </c>
    </row>
    <row r="38" spans="1:17" ht="15.75">
      <c r="A38" s="10">
        <v>31</v>
      </c>
      <c r="B38" s="13" t="s">
        <v>29</v>
      </c>
      <c r="C38" s="15">
        <v>14</v>
      </c>
      <c r="D38" s="12">
        <f t="shared" si="0"/>
        <v>326623.95999999996</v>
      </c>
      <c r="E38" s="2">
        <f>19908.03+61.23</f>
        <v>19969.26</v>
      </c>
      <c r="F38" s="2">
        <f>1054.82+10583.99</f>
        <v>11638.81</v>
      </c>
      <c r="G38" s="2">
        <f>-206.5</f>
        <v>-206.5</v>
      </c>
      <c r="H38" s="2">
        <v>183581.76</v>
      </c>
      <c r="I38" s="7">
        <f t="shared" si="1"/>
        <v>214983.33000000002</v>
      </c>
      <c r="J38" s="7">
        <v>7120.53</v>
      </c>
      <c r="K38" s="2">
        <v>18724.1</v>
      </c>
      <c r="L38" s="2">
        <v>9006.66</v>
      </c>
      <c r="M38" s="2">
        <v>36757.07</v>
      </c>
      <c r="N38" s="2">
        <v>0</v>
      </c>
      <c r="O38" s="7">
        <f t="shared" si="2"/>
        <v>64487.829999999994</v>
      </c>
      <c r="P38" s="7">
        <f>169.84+33065.44</f>
        <v>33235.28</v>
      </c>
      <c r="Q38" s="7">
        <v>6796.99</v>
      </c>
    </row>
    <row r="39" spans="1:17" ht="15.75">
      <c r="A39" s="10">
        <f t="shared" si="3"/>
        <v>32</v>
      </c>
      <c r="B39" s="13" t="s">
        <v>29</v>
      </c>
      <c r="C39" s="15">
        <v>16</v>
      </c>
      <c r="D39" s="12">
        <f t="shared" si="0"/>
        <v>587015.02</v>
      </c>
      <c r="E39" s="2">
        <f>40778.32+454.31</f>
        <v>41232.63</v>
      </c>
      <c r="F39" s="2">
        <v>46286.39</v>
      </c>
      <c r="G39" s="2">
        <f>106792.94+618.6</f>
        <v>107411.54000000001</v>
      </c>
      <c r="H39" s="2">
        <v>225196.1</v>
      </c>
      <c r="I39" s="7">
        <f t="shared" si="1"/>
        <v>420126.66000000003</v>
      </c>
      <c r="J39" s="7">
        <v>26430.3</v>
      </c>
      <c r="K39" s="2">
        <v>30262.46</v>
      </c>
      <c r="L39" s="2">
        <v>13179.87</v>
      </c>
      <c r="M39" s="2">
        <v>0</v>
      </c>
      <c r="N39" s="2">
        <v>0</v>
      </c>
      <c r="O39" s="7">
        <f t="shared" si="2"/>
        <v>43442.33</v>
      </c>
      <c r="P39" s="7">
        <f>958.78+66226.42</f>
        <v>67185.2</v>
      </c>
      <c r="Q39" s="7">
        <v>29830.53</v>
      </c>
    </row>
    <row r="40" spans="1:17" ht="15.75">
      <c r="A40" s="10">
        <f t="shared" si="3"/>
        <v>33</v>
      </c>
      <c r="B40" s="13" t="s">
        <v>29</v>
      </c>
      <c r="C40" s="15">
        <v>18</v>
      </c>
      <c r="D40" s="12">
        <f t="shared" si="0"/>
        <v>371804.02</v>
      </c>
      <c r="E40" s="2">
        <f>13559.26+217.33</f>
        <v>13776.59</v>
      </c>
      <c r="F40" s="2">
        <f>251.7+14084.42</f>
        <v>14336.12</v>
      </c>
      <c r="G40" s="2">
        <f>48795.19+673.37</f>
        <v>49468.560000000005</v>
      </c>
      <c r="H40" s="2">
        <v>191325.96</v>
      </c>
      <c r="I40" s="7">
        <f t="shared" si="1"/>
        <v>268907.23</v>
      </c>
      <c r="J40" s="7">
        <v>10590.55</v>
      </c>
      <c r="K40" s="2">
        <v>20759.46</v>
      </c>
      <c r="L40" s="2">
        <v>5571.48</v>
      </c>
      <c r="M40" s="2">
        <v>16251.94</v>
      </c>
      <c r="N40" s="2">
        <v>0</v>
      </c>
      <c r="O40" s="7">
        <f t="shared" si="2"/>
        <v>42582.88</v>
      </c>
      <c r="P40" s="7">
        <f>123.52+33909.32</f>
        <v>34032.84</v>
      </c>
      <c r="Q40" s="7">
        <v>15690.52</v>
      </c>
    </row>
    <row r="41" spans="1:17" ht="16.5" thickBot="1">
      <c r="A41" s="10">
        <f t="shared" si="3"/>
        <v>34</v>
      </c>
      <c r="B41" s="13" t="s">
        <v>29</v>
      </c>
      <c r="C41" s="15">
        <v>20</v>
      </c>
      <c r="D41" s="12">
        <f t="shared" si="0"/>
        <v>342705.08</v>
      </c>
      <c r="E41" s="2">
        <f>13726.01+18</f>
        <v>13744.01</v>
      </c>
      <c r="F41" s="2">
        <f>11461.07-796.05</f>
        <v>10665.02</v>
      </c>
      <c r="G41" s="2">
        <f>47920.01-164.19</f>
        <v>47755.82</v>
      </c>
      <c r="H41" s="2">
        <v>170826.61</v>
      </c>
      <c r="I41" s="7">
        <f t="shared" si="1"/>
        <v>242991.46</v>
      </c>
      <c r="J41" s="7">
        <v>11366.9</v>
      </c>
      <c r="K41" s="2">
        <f>19716.78</f>
        <v>19716.78</v>
      </c>
      <c r="L41" s="2">
        <v>7289.81</v>
      </c>
      <c r="M41" s="2">
        <v>17670.31</v>
      </c>
      <c r="N41" s="2">
        <v>0</v>
      </c>
      <c r="O41" s="7">
        <f t="shared" si="2"/>
        <v>44676.9</v>
      </c>
      <c r="P41" s="7">
        <f>447.76+32832.79</f>
        <v>33280.55</v>
      </c>
      <c r="Q41" s="7">
        <v>10389.27</v>
      </c>
    </row>
    <row r="42" spans="1:17" s="6" customFormat="1" ht="16.5" thickBot="1">
      <c r="A42" s="36" t="s">
        <v>30</v>
      </c>
      <c r="B42" s="37"/>
      <c r="C42" s="38"/>
      <c r="D42" s="22">
        <f aca="true" t="shared" si="7" ref="D42:M42">SUM(D31:D41)</f>
        <v>3517469.46</v>
      </c>
      <c r="E42" s="23">
        <f>SUM(E31:E41)</f>
        <v>179031.1</v>
      </c>
      <c r="F42" s="23">
        <f t="shared" si="7"/>
        <v>212315.58</v>
      </c>
      <c r="G42" s="23">
        <f t="shared" si="7"/>
        <v>449557.79000000004</v>
      </c>
      <c r="H42" s="23">
        <f t="shared" si="7"/>
        <v>1611680.5</v>
      </c>
      <c r="I42" s="24">
        <f t="shared" si="7"/>
        <v>2452584.9699999997</v>
      </c>
      <c r="J42" s="24">
        <f t="shared" si="7"/>
        <v>95585.23999999999</v>
      </c>
      <c r="K42" s="23">
        <f t="shared" si="7"/>
        <v>179708.33</v>
      </c>
      <c r="L42" s="23">
        <f t="shared" si="7"/>
        <v>74003.78</v>
      </c>
      <c r="M42" s="23">
        <f t="shared" si="7"/>
        <v>140306.36</v>
      </c>
      <c r="N42" s="23"/>
      <c r="O42" s="24">
        <f>SUM(O31:O41)</f>
        <v>394018.47000000003</v>
      </c>
      <c r="P42" s="24">
        <f>SUM(P31:P41)</f>
        <v>411137.69</v>
      </c>
      <c r="Q42" s="25">
        <f>SUM(Q31:Q41)</f>
        <v>164143.08999999997</v>
      </c>
    </row>
    <row r="43" spans="1:17" ht="15.75">
      <c r="A43" s="10">
        <f>A41+1</f>
        <v>35</v>
      </c>
      <c r="B43" s="13" t="s">
        <v>31</v>
      </c>
      <c r="C43" s="15">
        <v>4</v>
      </c>
      <c r="D43" s="12">
        <f>I43+J43+O43+P43+Q43</f>
        <v>375804.45999999996</v>
      </c>
      <c r="E43" s="2">
        <f>18575.68-436.77</f>
        <v>18138.91</v>
      </c>
      <c r="F43" s="2">
        <f>167.8+18249.32</f>
        <v>18417.12</v>
      </c>
      <c r="G43" s="2">
        <f>68208.24+3598.92</f>
        <v>71807.16</v>
      </c>
      <c r="H43" s="2">
        <v>172800.94</v>
      </c>
      <c r="I43" s="7">
        <f t="shared" si="1"/>
        <v>281164.13</v>
      </c>
      <c r="J43" s="7">
        <v>18933.61</v>
      </c>
      <c r="K43" s="2">
        <v>20678.36</v>
      </c>
      <c r="L43" s="2">
        <v>9489.08</v>
      </c>
      <c r="M43" s="2">
        <v>31782.48</v>
      </c>
      <c r="N43" s="2">
        <v>0</v>
      </c>
      <c r="O43" s="7">
        <f t="shared" si="2"/>
        <v>61949.92</v>
      </c>
      <c r="P43" s="7">
        <v>13756.8</v>
      </c>
      <c r="Q43" s="7">
        <v>0</v>
      </c>
    </row>
    <row r="44" spans="1:17" ht="15.75">
      <c r="A44" s="10">
        <f t="shared" si="3"/>
        <v>36</v>
      </c>
      <c r="B44" s="13" t="s">
        <v>31</v>
      </c>
      <c r="C44" s="15">
        <v>5</v>
      </c>
      <c r="D44" s="12">
        <f t="shared" si="0"/>
        <v>504401.1000000001</v>
      </c>
      <c r="E44" s="2">
        <f>27086.79-1560.22</f>
        <v>25526.57</v>
      </c>
      <c r="F44" s="2">
        <f>32063.21-609.56</f>
        <v>31453.649999999998</v>
      </c>
      <c r="G44" s="2">
        <f>94866.26+598.78</f>
        <v>95465.04</v>
      </c>
      <c r="H44" s="2">
        <v>217962.6</v>
      </c>
      <c r="I44" s="7">
        <f t="shared" si="1"/>
        <v>370407.86000000004</v>
      </c>
      <c r="J44" s="7">
        <v>19496.7</v>
      </c>
      <c r="K44" s="2">
        <v>21681.66</v>
      </c>
      <c r="L44" s="2">
        <v>7412.9</v>
      </c>
      <c r="M44" s="2">
        <v>29441.57</v>
      </c>
      <c r="N44" s="2">
        <v>0</v>
      </c>
      <c r="O44" s="7">
        <f t="shared" si="2"/>
        <v>58536.130000000005</v>
      </c>
      <c r="P44" s="7">
        <f>693.57+47630.83</f>
        <v>48324.4</v>
      </c>
      <c r="Q44" s="7">
        <v>7636.01</v>
      </c>
    </row>
    <row r="45" spans="1:17" ht="15.75">
      <c r="A45" s="10">
        <f t="shared" si="3"/>
        <v>37</v>
      </c>
      <c r="B45" s="13" t="s">
        <v>31</v>
      </c>
      <c r="C45" s="15">
        <v>6</v>
      </c>
      <c r="D45" s="12">
        <f t="shared" si="0"/>
        <v>402767.27</v>
      </c>
      <c r="E45" s="2">
        <f>18069.9-560.82</f>
        <v>17509.08</v>
      </c>
      <c r="F45" s="2">
        <f>17914.24</f>
        <v>17914.24</v>
      </c>
      <c r="G45" s="2">
        <f>69935.86+2078.81</f>
        <v>72014.67</v>
      </c>
      <c r="H45" s="2">
        <v>188601.59</v>
      </c>
      <c r="I45" s="7">
        <f t="shared" si="1"/>
        <v>296039.58</v>
      </c>
      <c r="J45" s="7">
        <v>6813.64</v>
      </c>
      <c r="K45" s="2">
        <v>15715.76</v>
      </c>
      <c r="L45" s="2">
        <v>11040.82</v>
      </c>
      <c r="M45" s="2">
        <v>44865.33</v>
      </c>
      <c r="N45" s="2">
        <v>0</v>
      </c>
      <c r="O45" s="7">
        <f t="shared" si="2"/>
        <v>71621.91</v>
      </c>
      <c r="P45" s="7">
        <f>92.64+28199.5</f>
        <v>28292.14</v>
      </c>
      <c r="Q45" s="7">
        <v>0</v>
      </c>
    </row>
    <row r="46" spans="1:17" ht="15.75">
      <c r="A46" s="10">
        <f t="shared" si="3"/>
        <v>38</v>
      </c>
      <c r="B46" s="13" t="s">
        <v>31</v>
      </c>
      <c r="C46" s="15">
        <v>7</v>
      </c>
      <c r="D46" s="12">
        <f t="shared" si="0"/>
        <v>136749.86000000002</v>
      </c>
      <c r="E46" s="2">
        <f>8896.27</f>
        <v>8896.27</v>
      </c>
      <c r="F46" s="2">
        <v>9417.65</v>
      </c>
      <c r="G46" s="2">
        <v>27263.8</v>
      </c>
      <c r="H46" s="2">
        <v>71053.72</v>
      </c>
      <c r="I46" s="7">
        <f t="shared" si="1"/>
        <v>116631.44</v>
      </c>
      <c r="J46" s="7">
        <v>9459.36</v>
      </c>
      <c r="K46" s="2">
        <v>851.65</v>
      </c>
      <c r="L46" s="2">
        <v>1174.86</v>
      </c>
      <c r="M46" s="2">
        <v>3947.61</v>
      </c>
      <c r="N46" s="2">
        <v>0</v>
      </c>
      <c r="O46" s="7">
        <f t="shared" si="2"/>
        <v>5974.12</v>
      </c>
      <c r="P46" s="7">
        <f>20.47+4664.47</f>
        <v>4684.9400000000005</v>
      </c>
      <c r="Q46" s="7">
        <v>0</v>
      </c>
    </row>
    <row r="47" spans="1:17" ht="15.75">
      <c r="A47" s="10">
        <f t="shared" si="3"/>
        <v>39</v>
      </c>
      <c r="B47" s="13" t="s">
        <v>31</v>
      </c>
      <c r="C47" s="15">
        <v>9</v>
      </c>
      <c r="D47" s="12">
        <f t="shared" si="0"/>
        <v>316860.92</v>
      </c>
      <c r="E47" s="2">
        <f>16080.11-3386.58</f>
        <v>12693.53</v>
      </c>
      <c r="F47" s="2">
        <v>11495.51</v>
      </c>
      <c r="G47" s="2">
        <f>50750.77-3470.97</f>
        <v>47279.799999999996</v>
      </c>
      <c r="H47" s="2">
        <v>149522.28</v>
      </c>
      <c r="I47" s="7">
        <f t="shared" si="1"/>
        <v>220991.12</v>
      </c>
      <c r="J47" s="7">
        <v>16419.05</v>
      </c>
      <c r="K47" s="2">
        <v>25763.54</v>
      </c>
      <c r="L47" s="2">
        <v>7545.16</v>
      </c>
      <c r="M47" s="2">
        <v>21427.62</v>
      </c>
      <c r="N47" s="2">
        <v>0</v>
      </c>
      <c r="O47" s="7">
        <f t="shared" si="2"/>
        <v>54736.32</v>
      </c>
      <c r="P47" s="7">
        <f>185.28+24529.15</f>
        <v>24714.43</v>
      </c>
      <c r="Q47" s="7">
        <v>0</v>
      </c>
    </row>
    <row r="48" spans="1:17" ht="15.75">
      <c r="A48" s="10">
        <f t="shared" si="3"/>
        <v>40</v>
      </c>
      <c r="B48" s="13" t="s">
        <v>31</v>
      </c>
      <c r="C48" s="15">
        <v>14</v>
      </c>
      <c r="D48" s="12">
        <f t="shared" si="0"/>
        <v>372419.65</v>
      </c>
      <c r="E48" s="2">
        <f>15626.91-2344.24</f>
        <v>13282.67</v>
      </c>
      <c r="F48" s="2">
        <f>74.87+18745.09</f>
        <v>18819.96</v>
      </c>
      <c r="G48" s="2">
        <f>30433.98+1007.93</f>
        <v>31441.91</v>
      </c>
      <c r="H48" s="2">
        <v>216587.77</v>
      </c>
      <c r="I48" s="7">
        <f t="shared" si="1"/>
        <v>280132.31</v>
      </c>
      <c r="J48" s="7">
        <v>22370.09</v>
      </c>
      <c r="K48" s="2">
        <v>13235.65</v>
      </c>
      <c r="L48" s="2">
        <v>7057.82</v>
      </c>
      <c r="M48" s="2">
        <v>14506.54</v>
      </c>
      <c r="N48" s="2">
        <v>0</v>
      </c>
      <c r="O48" s="7">
        <f t="shared" si="2"/>
        <v>34800.01</v>
      </c>
      <c r="P48" s="7">
        <f>231.6+34885.64</f>
        <v>35117.24</v>
      </c>
      <c r="Q48" s="7">
        <v>0</v>
      </c>
    </row>
    <row r="49" spans="1:17" ht="15.75">
      <c r="A49" s="10">
        <f t="shared" si="3"/>
        <v>41</v>
      </c>
      <c r="B49" s="13" t="s">
        <v>31</v>
      </c>
      <c r="C49" s="15">
        <v>16</v>
      </c>
      <c r="D49" s="12">
        <f t="shared" si="0"/>
        <v>340652.39</v>
      </c>
      <c r="E49" s="2">
        <f>13750.83-176.71</f>
        <v>13574.12</v>
      </c>
      <c r="F49" s="2">
        <f>20061.99-647.69</f>
        <v>19414.300000000003</v>
      </c>
      <c r="G49" s="2">
        <f>54307.89</f>
        <v>54307.89</v>
      </c>
      <c r="H49" s="2">
        <v>174471.13</v>
      </c>
      <c r="I49" s="7">
        <f t="shared" si="1"/>
        <v>261767.44</v>
      </c>
      <c r="J49" s="7">
        <v>12975.9</v>
      </c>
      <c r="K49" s="2">
        <v>11314.51</v>
      </c>
      <c r="L49" s="2">
        <v>6404.31</v>
      </c>
      <c r="M49" s="2">
        <v>28607.1</v>
      </c>
      <c r="N49" s="2">
        <v>0</v>
      </c>
      <c r="O49" s="7">
        <f t="shared" si="2"/>
        <v>46325.92</v>
      </c>
      <c r="P49" s="7">
        <f>355.12+19228.01</f>
        <v>19583.129999999997</v>
      </c>
      <c r="Q49" s="7">
        <v>0</v>
      </c>
    </row>
    <row r="50" spans="1:17" ht="15.75">
      <c r="A50" s="10">
        <f t="shared" si="3"/>
        <v>42</v>
      </c>
      <c r="B50" s="13" t="s">
        <v>31</v>
      </c>
      <c r="C50" s="15">
        <v>18</v>
      </c>
      <c r="D50" s="12">
        <f t="shared" si="0"/>
        <v>475201.31</v>
      </c>
      <c r="E50" s="2">
        <f>34236.78+626.47</f>
        <v>34863.25</v>
      </c>
      <c r="F50" s="2">
        <f>40352.25-73.58</f>
        <v>40278.67</v>
      </c>
      <c r="G50" s="2">
        <f>94652.03+2046.88</f>
        <v>96698.91</v>
      </c>
      <c r="H50" s="2">
        <v>205876.61</v>
      </c>
      <c r="I50" s="7">
        <f t="shared" si="1"/>
        <v>377717.44</v>
      </c>
      <c r="J50" s="7">
        <v>18424.01</v>
      </c>
      <c r="K50" s="2">
        <v>-1822.16</v>
      </c>
      <c r="L50" s="2">
        <v>13525.23</v>
      </c>
      <c r="M50" s="2">
        <v>29920.3</v>
      </c>
      <c r="N50" s="2">
        <v>0</v>
      </c>
      <c r="O50" s="7">
        <f t="shared" si="2"/>
        <v>41623.369999999995</v>
      </c>
      <c r="P50" s="7">
        <f>439.78+36996.71</f>
        <v>37436.49</v>
      </c>
      <c r="Q50" s="7">
        <v>0</v>
      </c>
    </row>
    <row r="51" spans="1:17" ht="16.5" thickBot="1">
      <c r="A51" s="10">
        <f t="shared" si="3"/>
        <v>43</v>
      </c>
      <c r="B51" s="13" t="s">
        <v>31</v>
      </c>
      <c r="C51" s="15">
        <v>20</v>
      </c>
      <c r="D51" s="12">
        <f t="shared" si="0"/>
        <v>370055.54</v>
      </c>
      <c r="E51" s="2">
        <f>19388.37+746.43</f>
        <v>20134.8</v>
      </c>
      <c r="F51" s="2">
        <v>22326.3</v>
      </c>
      <c r="G51" s="2">
        <f>59757.7+4603.69</f>
        <v>64361.39</v>
      </c>
      <c r="H51" s="2">
        <v>162540.1</v>
      </c>
      <c r="I51" s="7">
        <f t="shared" si="1"/>
        <v>269362.58999999997</v>
      </c>
      <c r="J51" s="7">
        <v>26648.49</v>
      </c>
      <c r="K51" s="2">
        <v>17048.67</v>
      </c>
      <c r="L51" s="2">
        <v>8092.34</v>
      </c>
      <c r="M51" s="2">
        <v>26358.11</v>
      </c>
      <c r="N51" s="2">
        <v>0</v>
      </c>
      <c r="O51" s="7">
        <f t="shared" si="2"/>
        <v>51499.119999999995</v>
      </c>
      <c r="P51" s="7">
        <f>22545.34</f>
        <v>22545.34</v>
      </c>
      <c r="Q51" s="7">
        <v>0</v>
      </c>
    </row>
    <row r="52" spans="1:17" s="6" customFormat="1" ht="16.5" thickBot="1">
      <c r="A52" s="36" t="s">
        <v>32</v>
      </c>
      <c r="B52" s="37"/>
      <c r="C52" s="38"/>
      <c r="D52" s="22">
        <f aca="true" t="shared" si="8" ref="D52:M52">SUM(D43:D51)</f>
        <v>3294912.5000000005</v>
      </c>
      <c r="E52" s="23">
        <f t="shared" si="8"/>
        <v>164619.19999999998</v>
      </c>
      <c r="F52" s="23">
        <f t="shared" si="8"/>
        <v>189537.39999999997</v>
      </c>
      <c r="G52" s="23">
        <f t="shared" si="8"/>
        <v>560640.57</v>
      </c>
      <c r="H52" s="23">
        <f t="shared" si="8"/>
        <v>1559416.7400000002</v>
      </c>
      <c r="I52" s="24">
        <f t="shared" si="8"/>
        <v>2474213.9099999997</v>
      </c>
      <c r="J52" s="24">
        <f t="shared" si="8"/>
        <v>151540.84999999998</v>
      </c>
      <c r="K52" s="23">
        <f t="shared" si="8"/>
        <v>124467.63999999998</v>
      </c>
      <c r="L52" s="23">
        <f t="shared" si="8"/>
        <v>71742.51999999999</v>
      </c>
      <c r="M52" s="23">
        <f t="shared" si="8"/>
        <v>230856.66000000003</v>
      </c>
      <c r="N52" s="23"/>
      <c r="O52" s="24">
        <f>SUM(O43:O51)</f>
        <v>427066.82</v>
      </c>
      <c r="P52" s="24">
        <f>SUM(P43:P51)</f>
        <v>234454.90999999997</v>
      </c>
      <c r="Q52" s="25">
        <f>SUM(Q43:Q51)</f>
        <v>7636.01</v>
      </c>
    </row>
    <row r="53" spans="1:17" ht="22.5" customHeight="1" thickBot="1">
      <c r="A53" s="10">
        <f>A51+1</f>
        <v>44</v>
      </c>
      <c r="B53" s="13" t="s">
        <v>33</v>
      </c>
      <c r="C53" s="15">
        <v>2</v>
      </c>
      <c r="D53" s="12">
        <f>I53+J53+O53+P53+Q53</f>
        <v>237952.87</v>
      </c>
      <c r="E53" s="2">
        <f>15018.13</f>
        <v>15018.13</v>
      </c>
      <c r="F53" s="2">
        <f>11382.94+162.28</f>
        <v>11545.220000000001</v>
      </c>
      <c r="G53" s="2">
        <v>0</v>
      </c>
      <c r="H53" s="2">
        <v>0</v>
      </c>
      <c r="I53" s="7">
        <f t="shared" si="1"/>
        <v>26563.35</v>
      </c>
      <c r="J53" s="7">
        <v>1735.5</v>
      </c>
      <c r="K53" s="2">
        <v>26111.92</v>
      </c>
      <c r="L53" s="2">
        <v>6655.39</v>
      </c>
      <c r="M53" s="2">
        <v>27130.69</v>
      </c>
      <c r="N53" s="2">
        <v>145494.84</v>
      </c>
      <c r="O53" s="7">
        <f>M53+L53+K53+N53</f>
        <v>205392.84</v>
      </c>
      <c r="P53" s="7">
        <f>46.32+4214.86</f>
        <v>4261.179999999999</v>
      </c>
      <c r="Q53" s="7">
        <v>0</v>
      </c>
    </row>
    <row r="54" spans="1:17" s="6" customFormat="1" ht="16.5" thickBot="1">
      <c r="A54" s="36" t="s">
        <v>34</v>
      </c>
      <c r="B54" s="37"/>
      <c r="C54" s="38"/>
      <c r="D54" s="22">
        <f aca="true" t="shared" si="9" ref="D54:Q54">SUM(D53)</f>
        <v>237952.87</v>
      </c>
      <c r="E54" s="23">
        <f t="shared" si="9"/>
        <v>15018.13</v>
      </c>
      <c r="F54" s="23">
        <f t="shared" si="9"/>
        <v>11545.220000000001</v>
      </c>
      <c r="G54" s="23">
        <f t="shared" si="9"/>
        <v>0</v>
      </c>
      <c r="H54" s="23">
        <f t="shared" si="9"/>
        <v>0</v>
      </c>
      <c r="I54" s="24">
        <f t="shared" si="9"/>
        <v>26563.35</v>
      </c>
      <c r="J54" s="24">
        <f t="shared" si="9"/>
        <v>1735.5</v>
      </c>
      <c r="K54" s="23">
        <f t="shared" si="9"/>
        <v>26111.92</v>
      </c>
      <c r="L54" s="23">
        <f t="shared" si="9"/>
        <v>6655.39</v>
      </c>
      <c r="M54" s="23">
        <f t="shared" si="9"/>
        <v>27130.69</v>
      </c>
      <c r="N54" s="23">
        <f t="shared" si="9"/>
        <v>145494.84</v>
      </c>
      <c r="O54" s="24">
        <f t="shared" si="9"/>
        <v>205392.84</v>
      </c>
      <c r="P54" s="24">
        <f t="shared" si="9"/>
        <v>4261.179999999999</v>
      </c>
      <c r="Q54" s="25">
        <f t="shared" si="9"/>
        <v>0</v>
      </c>
    </row>
    <row r="55" spans="1:17" ht="15.75">
      <c r="A55" s="10">
        <f>A53+1</f>
        <v>45</v>
      </c>
      <c r="B55" s="13" t="s">
        <v>36</v>
      </c>
      <c r="C55" s="15">
        <v>1</v>
      </c>
      <c r="D55" s="12">
        <f t="shared" si="0"/>
        <v>32062.12</v>
      </c>
      <c r="E55" s="2">
        <f>1866.13</f>
        <v>1866.13</v>
      </c>
      <c r="F55" s="2">
        <v>1791.3</v>
      </c>
      <c r="G55" s="2">
        <v>0</v>
      </c>
      <c r="H55" s="2">
        <v>17581.1</v>
      </c>
      <c r="I55" s="7">
        <f t="shared" si="1"/>
        <v>21238.53</v>
      </c>
      <c r="J55" s="7">
        <v>3001.57</v>
      </c>
      <c r="K55" s="2">
        <v>-949.46</v>
      </c>
      <c r="L55" s="2">
        <v>2113.34</v>
      </c>
      <c r="M55" s="2">
        <v>4258.75</v>
      </c>
      <c r="N55" s="2">
        <v>0</v>
      </c>
      <c r="O55" s="7">
        <f t="shared" si="2"/>
        <v>5422.63</v>
      </c>
      <c r="P55" s="7">
        <f>83.1+2316.29</f>
        <v>2399.39</v>
      </c>
      <c r="Q55" s="7">
        <v>0</v>
      </c>
    </row>
    <row r="56" spans="1:17" ht="15.75">
      <c r="A56" s="10">
        <f t="shared" si="3"/>
        <v>46</v>
      </c>
      <c r="B56" s="13" t="s">
        <v>36</v>
      </c>
      <c r="C56" s="15">
        <v>2</v>
      </c>
      <c r="D56" s="12">
        <f t="shared" si="0"/>
        <v>536761.8</v>
      </c>
      <c r="E56" s="2">
        <f>31066.18</f>
        <v>31066.18</v>
      </c>
      <c r="F56" s="2">
        <f>24169.12+138.32</f>
        <v>24307.44</v>
      </c>
      <c r="G56" s="2">
        <v>0</v>
      </c>
      <c r="H56" s="2">
        <v>280828.25</v>
      </c>
      <c r="I56" s="7">
        <f t="shared" si="1"/>
        <v>336201.87</v>
      </c>
      <c r="J56" s="7">
        <v>26881.03</v>
      </c>
      <c r="K56" s="2">
        <v>23783.79</v>
      </c>
      <c r="L56" s="2">
        <v>13605.13</v>
      </c>
      <c r="M56" s="2">
        <v>54470.21</v>
      </c>
      <c r="N56" s="2">
        <v>0</v>
      </c>
      <c r="O56" s="7">
        <f t="shared" si="2"/>
        <v>91859.13</v>
      </c>
      <c r="P56" s="7">
        <f>1080.8+66622.07</f>
        <v>67702.87000000001</v>
      </c>
      <c r="Q56" s="7">
        <v>14116.9</v>
      </c>
    </row>
    <row r="57" spans="1:17" ht="15.75">
      <c r="A57" s="10">
        <f t="shared" si="3"/>
        <v>47</v>
      </c>
      <c r="B57" s="13" t="s">
        <v>36</v>
      </c>
      <c r="C57" s="15" t="s">
        <v>37</v>
      </c>
      <c r="D57" s="12">
        <f t="shared" si="0"/>
        <v>125057.43999999999</v>
      </c>
      <c r="E57" s="2">
        <f>12469.34</f>
        <v>12469.34</v>
      </c>
      <c r="F57" s="2">
        <v>8466.68</v>
      </c>
      <c r="G57" s="2">
        <v>0</v>
      </c>
      <c r="H57" s="2">
        <v>68974.5</v>
      </c>
      <c r="I57" s="7">
        <f t="shared" si="1"/>
        <v>89910.51999999999</v>
      </c>
      <c r="J57" s="7">
        <v>10526.78</v>
      </c>
      <c r="K57" s="2">
        <v>8122.44</v>
      </c>
      <c r="L57" s="2">
        <v>4197.62</v>
      </c>
      <c r="M57" s="2">
        <v>0</v>
      </c>
      <c r="N57" s="2">
        <v>0</v>
      </c>
      <c r="O57" s="7">
        <f t="shared" si="2"/>
        <v>12320.06</v>
      </c>
      <c r="P57" s="7">
        <f>463.2+10593.22</f>
        <v>11056.42</v>
      </c>
      <c r="Q57" s="7">
        <v>1243.66</v>
      </c>
    </row>
    <row r="58" spans="1:17" ht="15.75">
      <c r="A58" s="10">
        <f t="shared" si="3"/>
        <v>48</v>
      </c>
      <c r="B58" s="13" t="s">
        <v>36</v>
      </c>
      <c r="C58" s="15">
        <v>3</v>
      </c>
      <c r="D58" s="12">
        <f t="shared" si="0"/>
        <v>149552.50999999998</v>
      </c>
      <c r="E58" s="2">
        <v>17756.51</v>
      </c>
      <c r="F58" s="2">
        <v>11391.43</v>
      </c>
      <c r="G58" s="2">
        <v>0</v>
      </c>
      <c r="H58" s="2">
        <v>60969.47</v>
      </c>
      <c r="I58" s="7">
        <f t="shared" si="1"/>
        <v>90117.40999999999</v>
      </c>
      <c r="J58" s="7">
        <v>17238.53</v>
      </c>
      <c r="K58" s="2">
        <v>4597.08</v>
      </c>
      <c r="L58" s="2">
        <v>5670.93</v>
      </c>
      <c r="M58" s="2">
        <v>1175.85</v>
      </c>
      <c r="N58" s="2">
        <v>0</v>
      </c>
      <c r="O58" s="7">
        <f t="shared" si="2"/>
        <v>11443.86</v>
      </c>
      <c r="P58" s="7">
        <f>375.37+17732.5</f>
        <v>18107.87</v>
      </c>
      <c r="Q58" s="7">
        <v>12644.84</v>
      </c>
    </row>
    <row r="59" spans="1:17" ht="15.75">
      <c r="A59" s="10">
        <f t="shared" si="3"/>
        <v>49</v>
      </c>
      <c r="B59" s="13" t="s">
        <v>36</v>
      </c>
      <c r="C59" s="15">
        <v>5</v>
      </c>
      <c r="D59" s="12">
        <f t="shared" si="0"/>
        <v>96535.26000000001</v>
      </c>
      <c r="E59" s="2">
        <v>6050.31</v>
      </c>
      <c r="F59" s="2">
        <v>5741.64</v>
      </c>
      <c r="G59" s="2">
        <v>0</v>
      </c>
      <c r="H59" s="2">
        <v>56910.12</v>
      </c>
      <c r="I59" s="7">
        <f t="shared" si="1"/>
        <v>68702.07</v>
      </c>
      <c r="J59" s="7">
        <v>9506.61</v>
      </c>
      <c r="K59" s="2">
        <v>3095.62</v>
      </c>
      <c r="L59" s="2">
        <v>4187.81</v>
      </c>
      <c r="M59" s="2">
        <v>2886.69</v>
      </c>
      <c r="N59" s="2">
        <v>0</v>
      </c>
      <c r="O59" s="7">
        <f t="shared" si="2"/>
        <v>10170.119999999999</v>
      </c>
      <c r="P59" s="7">
        <f>6201.16</f>
        <v>6201.16</v>
      </c>
      <c r="Q59" s="7">
        <v>1955.3</v>
      </c>
    </row>
    <row r="60" spans="1:17" ht="15.75">
      <c r="A60" s="10">
        <f t="shared" si="3"/>
        <v>50</v>
      </c>
      <c r="B60" s="13" t="s">
        <v>36</v>
      </c>
      <c r="C60" s="15">
        <v>11</v>
      </c>
      <c r="D60" s="12">
        <f t="shared" si="0"/>
        <v>187679.32</v>
      </c>
      <c r="E60" s="2">
        <v>19875.04</v>
      </c>
      <c r="F60" s="2">
        <v>12958.59</v>
      </c>
      <c r="G60" s="2">
        <v>0</v>
      </c>
      <c r="H60" s="2">
        <v>89694.13</v>
      </c>
      <c r="I60" s="7">
        <f t="shared" si="1"/>
        <v>122527.76000000001</v>
      </c>
      <c r="J60" s="7">
        <v>19974.25</v>
      </c>
      <c r="K60" s="2">
        <v>7155.43</v>
      </c>
      <c r="L60" s="2">
        <v>4699.88</v>
      </c>
      <c r="M60" s="2">
        <v>900.13</v>
      </c>
      <c r="N60" s="2">
        <v>0</v>
      </c>
      <c r="O60" s="7">
        <f t="shared" si="2"/>
        <v>12755.44</v>
      </c>
      <c r="P60" s="7">
        <f>769.94+16241.68</f>
        <v>17011.62</v>
      </c>
      <c r="Q60" s="7">
        <v>15410.25</v>
      </c>
    </row>
    <row r="61" spans="1:17" ht="15.75">
      <c r="A61" s="10">
        <f t="shared" si="3"/>
        <v>51</v>
      </c>
      <c r="B61" s="13" t="s">
        <v>36</v>
      </c>
      <c r="C61" s="15">
        <v>13</v>
      </c>
      <c r="D61" s="12">
        <f t="shared" si="0"/>
        <v>217672.81</v>
      </c>
      <c r="E61" s="2">
        <v>21506.4</v>
      </c>
      <c r="F61" s="2">
        <v>12837.24</v>
      </c>
      <c r="G61" s="2">
        <v>0</v>
      </c>
      <c r="H61" s="2">
        <v>102056.27</v>
      </c>
      <c r="I61" s="7">
        <f t="shared" si="1"/>
        <v>136399.91</v>
      </c>
      <c r="J61" s="7">
        <v>10945.18</v>
      </c>
      <c r="K61" s="2">
        <v>8599.48</v>
      </c>
      <c r="L61" s="2">
        <v>7191.39</v>
      </c>
      <c r="M61" s="2">
        <v>8377.53</v>
      </c>
      <c r="N61" s="2">
        <v>0</v>
      </c>
      <c r="O61" s="7">
        <f t="shared" si="2"/>
        <v>24168.4</v>
      </c>
      <c r="P61" s="7">
        <f>497.81+22353.79</f>
        <v>22851.600000000002</v>
      </c>
      <c r="Q61" s="7">
        <v>23307.72</v>
      </c>
    </row>
    <row r="62" spans="1:17" ht="15.75">
      <c r="A62" s="10">
        <f t="shared" si="3"/>
        <v>52</v>
      </c>
      <c r="B62" s="13" t="s">
        <v>36</v>
      </c>
      <c r="C62" s="15">
        <v>15</v>
      </c>
      <c r="D62" s="12">
        <f t="shared" si="0"/>
        <v>164822.58</v>
      </c>
      <c r="E62" s="2">
        <v>15853.6</v>
      </c>
      <c r="F62" s="2">
        <v>11562.21</v>
      </c>
      <c r="G62" s="2">
        <v>0</v>
      </c>
      <c r="H62" s="2">
        <v>90427.37</v>
      </c>
      <c r="I62" s="7">
        <f t="shared" si="1"/>
        <v>117843.18</v>
      </c>
      <c r="J62" s="7">
        <v>10226.98</v>
      </c>
      <c r="K62" s="2">
        <v>7903.85</v>
      </c>
      <c r="L62" s="2">
        <v>6876.1</v>
      </c>
      <c r="M62" s="2">
        <v>7878.66</v>
      </c>
      <c r="N62" s="2">
        <v>0</v>
      </c>
      <c r="O62" s="7">
        <f t="shared" si="2"/>
        <v>22658.61</v>
      </c>
      <c r="P62" s="7">
        <f>92.64+6864.59</f>
        <v>6957.2300000000005</v>
      </c>
      <c r="Q62" s="7">
        <v>7136.58</v>
      </c>
    </row>
    <row r="63" spans="1:17" ht="15.75">
      <c r="A63" s="10">
        <f t="shared" si="3"/>
        <v>53</v>
      </c>
      <c r="B63" s="13" t="s">
        <v>36</v>
      </c>
      <c r="C63" s="15">
        <v>17</v>
      </c>
      <c r="D63" s="12">
        <f t="shared" si="0"/>
        <v>194430.75</v>
      </c>
      <c r="E63" s="2">
        <v>17284.08</v>
      </c>
      <c r="F63" s="2">
        <v>10925.98</v>
      </c>
      <c r="G63" s="2">
        <v>0</v>
      </c>
      <c r="H63" s="2">
        <v>90397.2</v>
      </c>
      <c r="I63" s="7">
        <f t="shared" si="1"/>
        <v>118607.26</v>
      </c>
      <c r="J63" s="7">
        <v>12971.15</v>
      </c>
      <c r="K63" s="2">
        <v>6835.09</v>
      </c>
      <c r="L63" s="2">
        <v>4912.4</v>
      </c>
      <c r="M63" s="2">
        <v>5708.32</v>
      </c>
      <c r="N63" s="2">
        <v>0</v>
      </c>
      <c r="O63" s="7">
        <f t="shared" si="2"/>
        <v>17455.809999999998</v>
      </c>
      <c r="P63" s="7">
        <f>633.04+24416.35</f>
        <v>25049.39</v>
      </c>
      <c r="Q63" s="7">
        <v>20347.14</v>
      </c>
    </row>
    <row r="64" spans="1:17" ht="15.75">
      <c r="A64" s="10">
        <f t="shared" si="3"/>
        <v>54</v>
      </c>
      <c r="B64" s="13" t="s">
        <v>36</v>
      </c>
      <c r="C64" s="15">
        <v>19</v>
      </c>
      <c r="D64" s="12">
        <f t="shared" si="0"/>
        <v>78452.84</v>
      </c>
      <c r="E64" s="2">
        <v>-1009.85</v>
      </c>
      <c r="F64" s="2">
        <v>189.1</v>
      </c>
      <c r="G64" s="2">
        <v>0</v>
      </c>
      <c r="H64" s="2">
        <v>33711.52</v>
      </c>
      <c r="I64" s="7">
        <f t="shared" si="1"/>
        <v>32890.77</v>
      </c>
      <c r="J64" s="7">
        <v>2174.48</v>
      </c>
      <c r="K64" s="2">
        <v>285.1</v>
      </c>
      <c r="L64" s="2">
        <v>998.14</v>
      </c>
      <c r="M64" s="2">
        <v>0</v>
      </c>
      <c r="N64" s="2">
        <v>0</v>
      </c>
      <c r="O64" s="7">
        <f t="shared" si="2"/>
        <v>1283.24</v>
      </c>
      <c r="P64" s="7">
        <v>25282.01</v>
      </c>
      <c r="Q64" s="7">
        <v>16822.34</v>
      </c>
    </row>
    <row r="65" spans="1:17" ht="15.75">
      <c r="A65" s="10">
        <f t="shared" si="3"/>
        <v>55</v>
      </c>
      <c r="B65" s="13" t="s">
        <v>36</v>
      </c>
      <c r="C65" s="15">
        <v>21</v>
      </c>
      <c r="D65" s="12">
        <f t="shared" si="0"/>
        <v>109253.68000000001</v>
      </c>
      <c r="E65" s="2">
        <v>8117.24</v>
      </c>
      <c r="F65" s="2">
        <v>5769.66</v>
      </c>
      <c r="G65" s="2">
        <v>0</v>
      </c>
      <c r="H65" s="2">
        <v>64159.16</v>
      </c>
      <c r="I65" s="7">
        <f t="shared" si="1"/>
        <v>78046.06000000001</v>
      </c>
      <c r="J65" s="7">
        <v>4455.81</v>
      </c>
      <c r="K65" s="2">
        <v>6726.31</v>
      </c>
      <c r="L65" s="2">
        <v>3061.96</v>
      </c>
      <c r="M65" s="2">
        <v>0</v>
      </c>
      <c r="N65" s="2">
        <v>0</v>
      </c>
      <c r="O65" s="7">
        <f t="shared" si="2"/>
        <v>9788.27</v>
      </c>
      <c r="P65" s="7">
        <f>212.06+8530.62</f>
        <v>8742.68</v>
      </c>
      <c r="Q65" s="7">
        <v>8220.86</v>
      </c>
    </row>
    <row r="66" spans="1:17" ht="15.75">
      <c r="A66" s="10">
        <f t="shared" si="3"/>
        <v>56</v>
      </c>
      <c r="B66" s="13" t="s">
        <v>36</v>
      </c>
      <c r="C66" s="15">
        <v>23</v>
      </c>
      <c r="D66" s="12">
        <f t="shared" si="0"/>
        <v>129394.59000000001</v>
      </c>
      <c r="E66" s="2">
        <v>6943.78</v>
      </c>
      <c r="F66" s="2">
        <v>4773.06</v>
      </c>
      <c r="G66" s="2">
        <v>0</v>
      </c>
      <c r="H66" s="2">
        <v>61932.51</v>
      </c>
      <c r="I66" s="7">
        <f t="shared" si="1"/>
        <v>73649.35</v>
      </c>
      <c r="J66" s="7">
        <v>423.3</v>
      </c>
      <c r="K66" s="2">
        <v>13075.67</v>
      </c>
      <c r="L66" s="2">
        <v>1774.08</v>
      </c>
      <c r="M66" s="2">
        <v>0</v>
      </c>
      <c r="N66" s="2">
        <v>0</v>
      </c>
      <c r="O66" s="7">
        <f t="shared" si="2"/>
        <v>14849.75</v>
      </c>
      <c r="P66" s="7">
        <f>231.6+28706.23</f>
        <v>28937.829999999998</v>
      </c>
      <c r="Q66" s="7">
        <v>11534.36</v>
      </c>
    </row>
    <row r="67" spans="1:17" ht="15.75">
      <c r="A67" s="10">
        <f>A66+1</f>
        <v>57</v>
      </c>
      <c r="B67" s="13" t="s">
        <v>36</v>
      </c>
      <c r="C67" s="15">
        <v>25</v>
      </c>
      <c r="D67" s="12">
        <f>I67+J67+O67+P67+Q67</f>
        <v>289144.03</v>
      </c>
      <c r="E67" s="2">
        <v>31611.4</v>
      </c>
      <c r="F67" s="2">
        <v>20631.98</v>
      </c>
      <c r="G67" s="2">
        <v>0</v>
      </c>
      <c r="H67" s="2">
        <v>104836.82</v>
      </c>
      <c r="I67" s="7">
        <f>H67+G67+F67+E67</f>
        <v>157080.2</v>
      </c>
      <c r="J67" s="7">
        <v>21349.02</v>
      </c>
      <c r="K67" s="2">
        <v>9645.69</v>
      </c>
      <c r="L67" s="2">
        <v>9217.73</v>
      </c>
      <c r="M67" s="2">
        <v>1415.5</v>
      </c>
      <c r="N67" s="2">
        <v>0</v>
      </c>
      <c r="O67" s="7">
        <f>M67+L67+K67</f>
        <v>20278.92</v>
      </c>
      <c r="P67" s="7">
        <f>2284.61+59820.68</f>
        <v>62105.29</v>
      </c>
      <c r="Q67" s="7">
        <v>28330.6</v>
      </c>
    </row>
    <row r="68" spans="1:17" ht="15.75">
      <c r="A68" s="10">
        <f>A67+1</f>
        <v>58</v>
      </c>
      <c r="B68" s="13" t="s">
        <v>36</v>
      </c>
      <c r="C68" s="15">
        <v>29</v>
      </c>
      <c r="D68" s="12">
        <f>I68+J68+O68+P68+Q68</f>
        <v>142519.75</v>
      </c>
      <c r="E68" s="2">
        <f>8538.83+376.34</f>
        <v>8915.17</v>
      </c>
      <c r="F68" s="2">
        <f>243.42+8011.72</f>
        <v>8255.14</v>
      </c>
      <c r="G68" s="2">
        <v>18446.73</v>
      </c>
      <c r="H68" s="2">
        <v>63404.89</v>
      </c>
      <c r="I68" s="7">
        <f>H68+G68+F68+E68</f>
        <v>99021.93</v>
      </c>
      <c r="J68" s="7">
        <v>2411.48</v>
      </c>
      <c r="K68" s="2">
        <v>4188.99</v>
      </c>
      <c r="L68" s="2">
        <v>3141.76</v>
      </c>
      <c r="M68" s="2">
        <v>6326.77</v>
      </c>
      <c r="N68" s="2">
        <v>0</v>
      </c>
      <c r="O68" s="7">
        <f>M68+L68+K68</f>
        <v>13657.52</v>
      </c>
      <c r="P68" s="7">
        <f>108.08+12872.73</f>
        <v>12980.81</v>
      </c>
      <c r="Q68" s="7">
        <v>14448.01</v>
      </c>
    </row>
    <row r="69" spans="1:17" ht="15.75">
      <c r="A69" s="10">
        <f>A68+1</f>
        <v>59</v>
      </c>
      <c r="B69" s="13" t="s">
        <v>36</v>
      </c>
      <c r="C69" s="15">
        <v>31</v>
      </c>
      <c r="D69" s="12">
        <f>I69+J69+O69+P69+Q69</f>
        <v>54781.16</v>
      </c>
      <c r="E69" s="2">
        <v>10783.67</v>
      </c>
      <c r="F69" s="2">
        <v>7919.54</v>
      </c>
      <c r="G69" s="2">
        <v>0</v>
      </c>
      <c r="H69" s="2">
        <v>24322.52</v>
      </c>
      <c r="I69" s="7">
        <f>H69+G69+F69+E69</f>
        <v>43025.73</v>
      </c>
      <c r="J69" s="7">
        <v>3079.11</v>
      </c>
      <c r="K69" s="2">
        <v>962.48</v>
      </c>
      <c r="L69" s="2">
        <v>3042.86</v>
      </c>
      <c r="M69" s="2">
        <v>3617.77</v>
      </c>
      <c r="N69" s="2">
        <v>0</v>
      </c>
      <c r="O69" s="7">
        <f>M69+L69+K69</f>
        <v>7623.110000000001</v>
      </c>
      <c r="P69" s="7">
        <f>1053.21</f>
        <v>1053.21</v>
      </c>
      <c r="Q69" s="7">
        <v>0</v>
      </c>
    </row>
    <row r="70" spans="1:17" ht="16.5" thickBot="1">
      <c r="A70" s="10">
        <f>A69+1</f>
        <v>60</v>
      </c>
      <c r="B70" s="13" t="s">
        <v>36</v>
      </c>
      <c r="C70" s="15">
        <v>33</v>
      </c>
      <c r="D70" s="12">
        <f>I70+J70+O70+P70+Q70</f>
        <v>241341.25999999995</v>
      </c>
      <c r="E70" s="2">
        <v>24731.36</v>
      </c>
      <c r="F70" s="2">
        <v>16831.37</v>
      </c>
      <c r="G70" s="2">
        <v>0</v>
      </c>
      <c r="H70" s="2">
        <v>106371.89</v>
      </c>
      <c r="I70" s="7">
        <f>H70+G70+F70+E70</f>
        <v>147934.62</v>
      </c>
      <c r="J70" s="7">
        <v>14417.11</v>
      </c>
      <c r="K70" s="2">
        <v>10436.97</v>
      </c>
      <c r="L70" s="2">
        <v>8231.7</v>
      </c>
      <c r="M70" s="2">
        <v>0</v>
      </c>
      <c r="N70" s="2">
        <v>0</v>
      </c>
      <c r="O70" s="7">
        <f>M70+L70+K70</f>
        <v>18668.67</v>
      </c>
      <c r="P70" s="7">
        <f>1096.24+42446.54</f>
        <v>43542.78</v>
      </c>
      <c r="Q70" s="7">
        <v>16778.08</v>
      </c>
    </row>
    <row r="71" spans="1:17" s="6" customFormat="1" ht="16.5" thickBot="1">
      <c r="A71" s="36" t="s">
        <v>38</v>
      </c>
      <c r="B71" s="37"/>
      <c r="C71" s="38"/>
      <c r="D71" s="22">
        <f aca="true" t="shared" si="10" ref="D71:M71">SUM(D55:D70)</f>
        <v>2749461.9000000004</v>
      </c>
      <c r="E71" s="23">
        <f t="shared" si="10"/>
        <v>233820.36</v>
      </c>
      <c r="F71" s="23">
        <f t="shared" si="10"/>
        <v>164352.36000000002</v>
      </c>
      <c r="G71" s="23">
        <f t="shared" si="10"/>
        <v>18446.73</v>
      </c>
      <c r="H71" s="23">
        <f t="shared" si="10"/>
        <v>1316577.7199999997</v>
      </c>
      <c r="I71" s="24">
        <f t="shared" si="10"/>
        <v>1733197.1700000004</v>
      </c>
      <c r="J71" s="24">
        <f t="shared" si="10"/>
        <v>169582.38999999996</v>
      </c>
      <c r="K71" s="23">
        <f t="shared" si="10"/>
        <v>114464.53000000001</v>
      </c>
      <c r="L71" s="23">
        <f t="shared" si="10"/>
        <v>82922.82999999999</v>
      </c>
      <c r="M71" s="23">
        <f t="shared" si="10"/>
        <v>97016.18000000002</v>
      </c>
      <c r="N71" s="23">
        <f>SUM(N70)</f>
        <v>0</v>
      </c>
      <c r="O71" s="24">
        <f>SUM(O55:O70)</f>
        <v>294403.54</v>
      </c>
      <c r="P71" s="24">
        <f>SUM(P55:P70)</f>
        <v>359982.16000000003</v>
      </c>
      <c r="Q71" s="25">
        <f>SUM(Q55:Q70)</f>
        <v>192296.64</v>
      </c>
    </row>
    <row r="72" spans="1:17" ht="15.75">
      <c r="A72" s="10">
        <f>A70+1</f>
        <v>61</v>
      </c>
      <c r="B72" s="13" t="s">
        <v>39</v>
      </c>
      <c r="C72" s="15" t="s">
        <v>40</v>
      </c>
      <c r="D72" s="12">
        <f>I72+J72+O72+P72+Q72</f>
        <v>12646.710000000001</v>
      </c>
      <c r="E72" s="2">
        <f>219.44+135.93</f>
        <v>355.37</v>
      </c>
      <c r="F72" s="2">
        <f>81.14-210.61</f>
        <v>-129.47000000000003</v>
      </c>
      <c r="G72" s="2">
        <v>0</v>
      </c>
      <c r="H72" s="2">
        <v>11000.01</v>
      </c>
      <c r="I72" s="7">
        <f>H72+G72+F72+E72</f>
        <v>11225.910000000002</v>
      </c>
      <c r="J72" s="7">
        <v>0</v>
      </c>
      <c r="K72" s="2">
        <v>884.12</v>
      </c>
      <c r="L72" s="2">
        <v>536.68</v>
      </c>
      <c r="M72" s="2">
        <v>0</v>
      </c>
      <c r="N72" s="2">
        <v>0</v>
      </c>
      <c r="O72" s="7">
        <f>M72+L72+K72</f>
        <v>1420.8</v>
      </c>
      <c r="P72" s="7">
        <v>0</v>
      </c>
      <c r="Q72" s="7">
        <v>0</v>
      </c>
    </row>
    <row r="73" spans="1:17" ht="15.75">
      <c r="A73" s="10">
        <f>A72+1</f>
        <v>62</v>
      </c>
      <c r="B73" s="13" t="s">
        <v>39</v>
      </c>
      <c r="C73" s="15">
        <v>3</v>
      </c>
      <c r="D73" s="12">
        <f>I73+J73+O73+P73+Q73</f>
        <v>205959.22999999998</v>
      </c>
      <c r="E73" s="2">
        <f>26486.97</f>
        <v>26486.97</v>
      </c>
      <c r="F73" s="2">
        <v>11708.93</v>
      </c>
      <c r="G73" s="2">
        <v>0</v>
      </c>
      <c r="H73" s="2">
        <v>118401.14</v>
      </c>
      <c r="I73" s="7">
        <f>H73+G73+F73+E73</f>
        <v>156597.04</v>
      </c>
      <c r="J73" s="7">
        <v>13062.08</v>
      </c>
      <c r="K73" s="2">
        <v>11266.71</v>
      </c>
      <c r="L73" s="2">
        <v>5284.9</v>
      </c>
      <c r="M73" s="2">
        <v>2652.36</v>
      </c>
      <c r="N73" s="2">
        <v>0</v>
      </c>
      <c r="O73" s="7">
        <f>M73+L73+K73</f>
        <v>19203.97</v>
      </c>
      <c r="P73" s="7">
        <f>1235.2+15860.94</f>
        <v>17096.14</v>
      </c>
      <c r="Q73" s="7">
        <v>0</v>
      </c>
    </row>
    <row r="74" spans="1:17" ht="15.75">
      <c r="A74" s="10">
        <f>A73+1</f>
        <v>63</v>
      </c>
      <c r="B74" s="13" t="s">
        <v>39</v>
      </c>
      <c r="C74" s="15">
        <v>4</v>
      </c>
      <c r="D74" s="12">
        <f>I74+J74+O74+P74+Q74</f>
        <v>84427.96999999999</v>
      </c>
      <c r="E74" s="2">
        <f>13561.05</f>
        <v>13561.05</v>
      </c>
      <c r="F74" s="2">
        <v>5560.68</v>
      </c>
      <c r="G74" s="2">
        <v>4366.06</v>
      </c>
      <c r="H74" s="2">
        <v>59365.47</v>
      </c>
      <c r="I74" s="7">
        <f>H74+G74+F74+E74</f>
        <v>82853.26</v>
      </c>
      <c r="J74" s="7">
        <v>13616.45</v>
      </c>
      <c r="K74" s="2">
        <v>-11084.74</v>
      </c>
      <c r="L74" s="2">
        <v>-304.97</v>
      </c>
      <c r="M74" s="2">
        <v>-652.03</v>
      </c>
      <c r="N74" s="2">
        <v>0</v>
      </c>
      <c r="O74" s="7">
        <f>M74+L74+K74</f>
        <v>-12041.74</v>
      </c>
      <c r="P74" s="7">
        <v>0</v>
      </c>
      <c r="Q74" s="7">
        <v>0</v>
      </c>
    </row>
    <row r="75" spans="1:17" ht="15.75">
      <c r="A75" s="10">
        <f>A74+1</f>
        <v>64</v>
      </c>
      <c r="B75" s="13" t="s">
        <v>39</v>
      </c>
      <c r="C75" s="15">
        <v>6</v>
      </c>
      <c r="D75" s="12">
        <f>I75+J75+O75+P75+Q75</f>
        <v>163643.31000000003</v>
      </c>
      <c r="E75" s="2">
        <f>8490.2</f>
        <v>8490.2</v>
      </c>
      <c r="F75" s="2">
        <v>10807.33</v>
      </c>
      <c r="G75" s="2">
        <v>27274.69</v>
      </c>
      <c r="H75" s="2">
        <v>98557.74</v>
      </c>
      <c r="I75" s="7">
        <f>H75+G75+F75+E75</f>
        <v>145129.96000000002</v>
      </c>
      <c r="J75" s="7">
        <v>14001.34</v>
      </c>
      <c r="K75" s="2">
        <v>83.61</v>
      </c>
      <c r="L75" s="2">
        <v>2834.87</v>
      </c>
      <c r="M75" s="2">
        <v>-921.48</v>
      </c>
      <c r="N75" s="2">
        <v>0</v>
      </c>
      <c r="O75" s="7">
        <f>M75+L75+K75</f>
        <v>1996.9999999999998</v>
      </c>
      <c r="P75" s="7">
        <v>2515.01</v>
      </c>
      <c r="Q75" s="7">
        <v>0</v>
      </c>
    </row>
    <row r="76" spans="1:17" ht="16.5" thickBot="1">
      <c r="A76" s="10">
        <f>A75+1</f>
        <v>65</v>
      </c>
      <c r="B76" s="13" t="s">
        <v>39</v>
      </c>
      <c r="C76" s="15">
        <v>7</v>
      </c>
      <c r="D76" s="12">
        <f>I76+J76+O76+P76+Q76</f>
        <v>269697.41000000003</v>
      </c>
      <c r="E76" s="2">
        <v>7324.94</v>
      </c>
      <c r="F76" s="2">
        <v>10523.76</v>
      </c>
      <c r="G76" s="2">
        <v>0</v>
      </c>
      <c r="H76" s="2">
        <v>183128.76</v>
      </c>
      <c r="I76" s="7">
        <f>H76+G76+F76+E76</f>
        <v>200977.46000000002</v>
      </c>
      <c r="J76" s="7">
        <v>26438.92</v>
      </c>
      <c r="K76" s="2">
        <v>10653.71</v>
      </c>
      <c r="L76" s="2">
        <v>6468.35</v>
      </c>
      <c r="M76" s="2">
        <v>0</v>
      </c>
      <c r="N76" s="2">
        <v>0</v>
      </c>
      <c r="O76" s="7">
        <f>M76+L76+K76</f>
        <v>17122.059999999998</v>
      </c>
      <c r="P76" s="7">
        <v>25158.97</v>
      </c>
      <c r="Q76" s="7">
        <v>0</v>
      </c>
    </row>
    <row r="77" spans="1:17" s="6" customFormat="1" ht="16.5" thickBot="1">
      <c r="A77" s="36" t="s">
        <v>41</v>
      </c>
      <c r="B77" s="37"/>
      <c r="C77" s="38"/>
      <c r="D77" s="22">
        <f aca="true" t="shared" si="11" ref="D77:M77">SUM(D72:D76)</f>
        <v>736374.63</v>
      </c>
      <c r="E77" s="23">
        <f t="shared" si="11"/>
        <v>56218.53</v>
      </c>
      <c r="F77" s="23">
        <f t="shared" si="11"/>
        <v>38471.23</v>
      </c>
      <c r="G77" s="23">
        <f t="shared" si="11"/>
        <v>31640.75</v>
      </c>
      <c r="H77" s="23">
        <f t="shared" si="11"/>
        <v>470453.12</v>
      </c>
      <c r="I77" s="24">
        <f t="shared" si="11"/>
        <v>596783.6300000001</v>
      </c>
      <c r="J77" s="24">
        <f t="shared" si="11"/>
        <v>67118.79</v>
      </c>
      <c r="K77" s="23">
        <f t="shared" si="11"/>
        <v>11803.41</v>
      </c>
      <c r="L77" s="23">
        <f t="shared" si="11"/>
        <v>14819.83</v>
      </c>
      <c r="M77" s="23">
        <f t="shared" si="11"/>
        <v>1078.8500000000001</v>
      </c>
      <c r="N77" s="23">
        <f>SUM(N76)</f>
        <v>0</v>
      </c>
      <c r="O77" s="24">
        <f>SUM(O72:O76)</f>
        <v>27702.089999999997</v>
      </c>
      <c r="P77" s="24">
        <f>SUM(P72:P76)</f>
        <v>44770.12</v>
      </c>
      <c r="Q77" s="25">
        <f>SUM(Q72:Q76)</f>
        <v>0</v>
      </c>
    </row>
    <row r="78" spans="1:17" s="6" customFormat="1" ht="15.75" customHeight="1" thickBot="1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</row>
    <row r="79" spans="1:17" s="6" customFormat="1" ht="16.5" thickBot="1">
      <c r="A79" s="40" t="s">
        <v>42</v>
      </c>
      <c r="B79" s="41"/>
      <c r="C79" s="41"/>
      <c r="D79" s="30">
        <f>D77+D71+D54+D52+D42+D30+D26+D18</f>
        <v>16499793.180000002</v>
      </c>
      <c r="E79" s="29">
        <f aca="true" t="shared" si="12" ref="E79:Q79">E77+E71+E54+E52+E42+E30+E26+E18</f>
        <v>1059889.3</v>
      </c>
      <c r="F79" s="28">
        <f t="shared" si="12"/>
        <v>1031442.8299999998</v>
      </c>
      <c r="G79" s="28">
        <f t="shared" si="12"/>
        <v>1960608.2099999997</v>
      </c>
      <c r="H79" s="31">
        <f t="shared" si="12"/>
        <v>7610930.430000001</v>
      </c>
      <c r="I79" s="30">
        <f t="shared" si="12"/>
        <v>11662870.77</v>
      </c>
      <c r="J79" s="30">
        <f t="shared" si="12"/>
        <v>717719.7799999998</v>
      </c>
      <c r="K79" s="29">
        <f t="shared" si="12"/>
        <v>733972.3200000001</v>
      </c>
      <c r="L79" s="28">
        <f t="shared" si="12"/>
        <v>381518.43</v>
      </c>
      <c r="M79" s="28">
        <f t="shared" si="12"/>
        <v>641995.22</v>
      </c>
      <c r="N79" s="31">
        <f t="shared" si="12"/>
        <v>145494.84</v>
      </c>
      <c r="O79" s="30">
        <f t="shared" si="12"/>
        <v>1902980.8099999998</v>
      </c>
      <c r="P79" s="30">
        <f t="shared" si="12"/>
        <v>1647749.02</v>
      </c>
      <c r="Q79" s="30">
        <f t="shared" si="12"/>
        <v>568472.8</v>
      </c>
    </row>
    <row r="80" spans="1:17" s="6" customFormat="1" ht="15.75" customHeight="1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42"/>
    </row>
    <row r="81" spans="1:17" ht="15.75">
      <c r="A81" s="10">
        <f>A76+1</f>
        <v>66</v>
      </c>
      <c r="B81" s="13" t="s">
        <v>43</v>
      </c>
      <c r="C81" s="15">
        <v>1</v>
      </c>
      <c r="D81" s="13">
        <f aca="true" t="shared" si="13" ref="D81:D100">I81+J81+O81+P81+Q81</f>
        <v>4266.599999999999</v>
      </c>
      <c r="E81" s="32">
        <v>-182.46</v>
      </c>
      <c r="F81" s="32">
        <v>1896.08</v>
      </c>
      <c r="G81" s="32">
        <v>0</v>
      </c>
      <c r="H81" s="32">
        <v>0</v>
      </c>
      <c r="I81" s="33">
        <f aca="true" t="shared" si="14" ref="I81:I99">H81+G81+F81+E81</f>
        <v>1713.62</v>
      </c>
      <c r="J81" s="33">
        <v>0</v>
      </c>
      <c r="K81" s="32">
        <v>0</v>
      </c>
      <c r="L81" s="32">
        <v>128.74</v>
      </c>
      <c r="M81" s="32">
        <v>0</v>
      </c>
      <c r="N81" s="32">
        <v>2424.24</v>
      </c>
      <c r="O81" s="33">
        <f>M81+L81+K81+N81</f>
        <v>2552.9799999999996</v>
      </c>
      <c r="P81" s="33">
        <v>0</v>
      </c>
      <c r="Q81" s="33">
        <v>0</v>
      </c>
    </row>
    <row r="82" spans="1:17" ht="15.75">
      <c r="A82" s="10">
        <v>67</v>
      </c>
      <c r="B82" s="13" t="s">
        <v>43</v>
      </c>
      <c r="C82" s="15">
        <v>10</v>
      </c>
      <c r="D82" s="13">
        <f t="shared" si="13"/>
        <v>9694.11</v>
      </c>
      <c r="E82" s="32">
        <v>372.43</v>
      </c>
      <c r="F82" s="32">
        <v>323.38</v>
      </c>
      <c r="G82" s="32">
        <v>0</v>
      </c>
      <c r="H82" s="32">
        <v>8805.19</v>
      </c>
      <c r="I82" s="33">
        <f t="shared" si="14"/>
        <v>9501</v>
      </c>
      <c r="J82" s="33">
        <v>0</v>
      </c>
      <c r="K82" s="32">
        <v>0</v>
      </c>
      <c r="L82" s="32">
        <v>193.11</v>
      </c>
      <c r="M82" s="32">
        <v>0</v>
      </c>
      <c r="N82" s="32">
        <v>0</v>
      </c>
      <c r="O82" s="33">
        <f aca="true" t="shared" si="15" ref="O82:O99">M82+L82+K82</f>
        <v>193.11</v>
      </c>
      <c r="P82" s="33">
        <v>0</v>
      </c>
      <c r="Q82" s="33">
        <v>0</v>
      </c>
    </row>
    <row r="83" spans="1:17" ht="15.75">
      <c r="A83" s="10">
        <v>68</v>
      </c>
      <c r="B83" s="13" t="s">
        <v>43</v>
      </c>
      <c r="C83" s="15">
        <v>7</v>
      </c>
      <c r="D83" s="13">
        <f t="shared" si="13"/>
        <v>4459.56</v>
      </c>
      <c r="E83" s="32">
        <v>254.34</v>
      </c>
      <c r="F83" s="32">
        <v>0</v>
      </c>
      <c r="G83" s="32">
        <v>0</v>
      </c>
      <c r="H83" s="32">
        <v>0</v>
      </c>
      <c r="I83" s="33">
        <f t="shared" si="14"/>
        <v>254.34</v>
      </c>
      <c r="J83" s="33">
        <v>3696</v>
      </c>
      <c r="K83" s="32">
        <v>0</v>
      </c>
      <c r="L83" s="32">
        <v>416.58</v>
      </c>
      <c r="M83" s="32">
        <v>0</v>
      </c>
      <c r="N83" s="32">
        <v>0</v>
      </c>
      <c r="O83" s="33">
        <f t="shared" si="15"/>
        <v>416.58</v>
      </c>
      <c r="P83" s="33">
        <v>92.64</v>
      </c>
      <c r="Q83" s="33">
        <v>0</v>
      </c>
    </row>
    <row r="84" spans="1:17" ht="15.75">
      <c r="A84" s="10">
        <v>69</v>
      </c>
      <c r="B84" s="13" t="s">
        <v>43</v>
      </c>
      <c r="C84" s="15">
        <v>16</v>
      </c>
      <c r="D84" s="13">
        <f t="shared" si="13"/>
        <v>219724.68</v>
      </c>
      <c r="E84" s="32">
        <v>11705.03</v>
      </c>
      <c r="F84" s="32">
        <v>34311.31</v>
      </c>
      <c r="G84" s="32">
        <v>0</v>
      </c>
      <c r="H84" s="32">
        <v>130257.67</v>
      </c>
      <c r="I84" s="33">
        <f t="shared" si="14"/>
        <v>176274.00999999998</v>
      </c>
      <c r="J84" s="33">
        <v>19715.65</v>
      </c>
      <c r="K84" s="32">
        <v>212.22</v>
      </c>
      <c r="L84" s="32">
        <v>5533.57</v>
      </c>
      <c r="M84" s="32">
        <v>1986.6</v>
      </c>
      <c r="N84" s="32">
        <v>0</v>
      </c>
      <c r="O84" s="33">
        <f t="shared" si="15"/>
        <v>7732.39</v>
      </c>
      <c r="P84" s="33">
        <f>566.22+15436.41</f>
        <v>16002.63</v>
      </c>
      <c r="Q84" s="33">
        <v>0</v>
      </c>
    </row>
    <row r="85" spans="1:17" ht="15.75">
      <c r="A85" s="10">
        <v>70</v>
      </c>
      <c r="B85" s="13" t="s">
        <v>43</v>
      </c>
      <c r="C85" s="15">
        <v>18</v>
      </c>
      <c r="D85" s="13">
        <f t="shared" si="13"/>
        <v>151894.77</v>
      </c>
      <c r="E85" s="32">
        <v>9036.09</v>
      </c>
      <c r="F85" s="32">
        <v>30808.96</v>
      </c>
      <c r="G85" s="32">
        <v>0</v>
      </c>
      <c r="H85" s="32">
        <v>66435.31</v>
      </c>
      <c r="I85" s="33">
        <f t="shared" si="14"/>
        <v>106280.35999999999</v>
      </c>
      <c r="J85" s="33">
        <v>12768.77</v>
      </c>
      <c r="K85" s="32">
        <v>5576.87</v>
      </c>
      <c r="L85" s="32">
        <v>3961.35</v>
      </c>
      <c r="M85" s="32">
        <v>281.36</v>
      </c>
      <c r="N85" s="32">
        <v>0</v>
      </c>
      <c r="O85" s="33">
        <f t="shared" si="15"/>
        <v>9819.58</v>
      </c>
      <c r="P85" s="33">
        <f>555.84+22470.22</f>
        <v>23026.06</v>
      </c>
      <c r="Q85" s="33">
        <v>0</v>
      </c>
    </row>
    <row r="86" spans="1:17" ht="15.75">
      <c r="A86" s="10">
        <v>71</v>
      </c>
      <c r="B86" s="13" t="s">
        <v>43</v>
      </c>
      <c r="C86" s="15">
        <v>21</v>
      </c>
      <c r="D86" s="13">
        <f t="shared" si="13"/>
        <v>179.70000000000002</v>
      </c>
      <c r="E86" s="32">
        <v>50.96</v>
      </c>
      <c r="F86" s="32">
        <v>0</v>
      </c>
      <c r="G86" s="32">
        <v>0</v>
      </c>
      <c r="H86" s="32">
        <v>0</v>
      </c>
      <c r="I86" s="33">
        <f t="shared" si="14"/>
        <v>50.96</v>
      </c>
      <c r="J86" s="33">
        <v>0</v>
      </c>
      <c r="K86" s="32">
        <v>0</v>
      </c>
      <c r="L86" s="32">
        <v>128.74</v>
      </c>
      <c r="M86" s="32">
        <v>0</v>
      </c>
      <c r="N86" s="32">
        <v>0</v>
      </c>
      <c r="O86" s="33">
        <f t="shared" si="15"/>
        <v>128.74</v>
      </c>
      <c r="P86" s="33">
        <v>0</v>
      </c>
      <c r="Q86" s="33">
        <v>0</v>
      </c>
    </row>
    <row r="87" spans="1:17" ht="15.75">
      <c r="A87" s="10">
        <v>72</v>
      </c>
      <c r="B87" s="13" t="s">
        <v>43</v>
      </c>
      <c r="C87" s="15">
        <v>22</v>
      </c>
      <c r="D87" s="13">
        <f t="shared" si="13"/>
        <v>152745.16</v>
      </c>
      <c r="E87" s="32">
        <v>3557.15</v>
      </c>
      <c r="F87" s="32">
        <v>5160.21</v>
      </c>
      <c r="G87" s="32">
        <v>0</v>
      </c>
      <c r="H87" s="32">
        <v>79191.79</v>
      </c>
      <c r="I87" s="33">
        <f t="shared" si="14"/>
        <v>87909.15</v>
      </c>
      <c r="J87" s="33">
        <v>18310.6</v>
      </c>
      <c r="K87" s="32">
        <v>5978</v>
      </c>
      <c r="L87" s="32">
        <v>4821.14</v>
      </c>
      <c r="M87" s="32">
        <v>0</v>
      </c>
      <c r="N87" s="32">
        <v>0</v>
      </c>
      <c r="O87" s="33">
        <f t="shared" si="15"/>
        <v>10799.14</v>
      </c>
      <c r="P87" s="33">
        <f>574.27+35152</f>
        <v>35726.27</v>
      </c>
      <c r="Q87" s="33">
        <v>0</v>
      </c>
    </row>
    <row r="88" spans="1:17" ht="15.75">
      <c r="A88" s="10">
        <f aca="true" t="shared" si="16" ref="A88:A100">A87+1</f>
        <v>73</v>
      </c>
      <c r="B88" s="13" t="s">
        <v>43</v>
      </c>
      <c r="C88" s="15">
        <v>23</v>
      </c>
      <c r="D88" s="12">
        <f t="shared" si="13"/>
        <v>179.70000000000002</v>
      </c>
      <c r="E88" s="2">
        <v>50.96</v>
      </c>
      <c r="F88" s="2">
        <v>0</v>
      </c>
      <c r="G88" s="2">
        <v>0</v>
      </c>
      <c r="H88" s="2">
        <v>0</v>
      </c>
      <c r="I88" s="7">
        <f t="shared" si="14"/>
        <v>50.96</v>
      </c>
      <c r="J88" s="7">
        <v>0</v>
      </c>
      <c r="K88" s="2">
        <v>0</v>
      </c>
      <c r="L88" s="2">
        <v>128.74</v>
      </c>
      <c r="M88" s="2">
        <v>0</v>
      </c>
      <c r="N88" s="2">
        <v>0</v>
      </c>
      <c r="O88" s="7">
        <f t="shared" si="15"/>
        <v>128.74</v>
      </c>
      <c r="P88" s="7">
        <v>0</v>
      </c>
      <c r="Q88" s="7">
        <v>0</v>
      </c>
    </row>
    <row r="89" spans="1:17" ht="15.75">
      <c r="A89" s="10">
        <f t="shared" si="16"/>
        <v>74</v>
      </c>
      <c r="B89" s="13" t="s">
        <v>43</v>
      </c>
      <c r="C89" s="15">
        <v>26</v>
      </c>
      <c r="D89" s="12">
        <f t="shared" si="13"/>
        <v>3097.5699999999997</v>
      </c>
      <c r="E89" s="2">
        <v>116.8</v>
      </c>
      <c r="F89" s="2">
        <v>949.04</v>
      </c>
      <c r="G89" s="2">
        <v>0</v>
      </c>
      <c r="H89" s="2">
        <v>1967.36</v>
      </c>
      <c r="I89" s="7">
        <f t="shared" si="14"/>
        <v>3033.2</v>
      </c>
      <c r="J89" s="7">
        <v>0</v>
      </c>
      <c r="K89" s="2">
        <v>0</v>
      </c>
      <c r="L89" s="2">
        <v>64.37</v>
      </c>
      <c r="M89" s="2">
        <v>0</v>
      </c>
      <c r="N89" s="2">
        <v>0</v>
      </c>
      <c r="O89" s="7">
        <f t="shared" si="15"/>
        <v>64.37</v>
      </c>
      <c r="P89" s="7">
        <v>0</v>
      </c>
      <c r="Q89" s="7">
        <v>0</v>
      </c>
    </row>
    <row r="90" spans="1:17" ht="15.75">
      <c r="A90" s="10">
        <f t="shared" si="16"/>
        <v>75</v>
      </c>
      <c r="B90" s="13" t="s">
        <v>43</v>
      </c>
      <c r="C90" s="15">
        <v>29</v>
      </c>
      <c r="D90" s="12">
        <f t="shared" si="13"/>
        <v>963.8400000000001</v>
      </c>
      <c r="E90" s="2">
        <v>444.98</v>
      </c>
      <c r="F90" s="2">
        <v>0</v>
      </c>
      <c r="G90" s="2">
        <v>0</v>
      </c>
      <c r="H90" s="2">
        <v>0</v>
      </c>
      <c r="I90" s="7">
        <f t="shared" si="14"/>
        <v>444.98</v>
      </c>
      <c r="J90" s="7">
        <v>2.42</v>
      </c>
      <c r="K90" s="2">
        <v>0</v>
      </c>
      <c r="L90" s="2">
        <v>516.44</v>
      </c>
      <c r="M90" s="2">
        <v>0</v>
      </c>
      <c r="N90" s="2">
        <v>0</v>
      </c>
      <c r="O90" s="7">
        <f t="shared" si="15"/>
        <v>516.44</v>
      </c>
      <c r="P90" s="7">
        <v>0</v>
      </c>
      <c r="Q90" s="7">
        <v>0</v>
      </c>
    </row>
    <row r="91" spans="1:17" ht="15.75">
      <c r="A91" s="10">
        <f t="shared" si="16"/>
        <v>76</v>
      </c>
      <c r="B91" s="13" t="s">
        <v>43</v>
      </c>
      <c r="C91" s="15">
        <v>32</v>
      </c>
      <c r="D91" s="12">
        <f t="shared" si="13"/>
        <v>1999.6399999999999</v>
      </c>
      <c r="E91" s="2">
        <v>705.08</v>
      </c>
      <c r="F91" s="2">
        <v>0</v>
      </c>
      <c r="G91" s="2">
        <v>0</v>
      </c>
      <c r="H91" s="2">
        <v>0</v>
      </c>
      <c r="I91" s="7">
        <f t="shared" si="14"/>
        <v>705.08</v>
      </c>
      <c r="J91" s="7">
        <v>924</v>
      </c>
      <c r="K91" s="2">
        <v>0</v>
      </c>
      <c r="L91" s="2">
        <v>0</v>
      </c>
      <c r="M91" s="2">
        <v>0</v>
      </c>
      <c r="N91" s="2">
        <v>0</v>
      </c>
      <c r="O91" s="7">
        <f t="shared" si="15"/>
        <v>0</v>
      </c>
      <c r="P91" s="7">
        <v>370.56</v>
      </c>
      <c r="Q91" s="7">
        <v>0</v>
      </c>
    </row>
    <row r="92" spans="1:17" ht="15.75">
      <c r="A92" s="10">
        <f t="shared" si="16"/>
        <v>77</v>
      </c>
      <c r="B92" s="13" t="s">
        <v>43</v>
      </c>
      <c r="C92" s="15">
        <v>40</v>
      </c>
      <c r="D92" s="12">
        <f t="shared" si="13"/>
        <v>16069.699999999999</v>
      </c>
      <c r="E92" s="2">
        <v>4009.54</v>
      </c>
      <c r="F92" s="2">
        <v>11000.97</v>
      </c>
      <c r="G92" s="2">
        <v>0</v>
      </c>
      <c r="H92" s="2">
        <v>0</v>
      </c>
      <c r="I92" s="7">
        <f t="shared" si="14"/>
        <v>15010.509999999998</v>
      </c>
      <c r="J92" s="7">
        <v>0</v>
      </c>
      <c r="K92" s="2">
        <v>0</v>
      </c>
      <c r="L92" s="2">
        <v>1059.19</v>
      </c>
      <c r="M92" s="2">
        <v>0</v>
      </c>
      <c r="N92" s="2">
        <v>0</v>
      </c>
      <c r="O92" s="7">
        <f t="shared" si="15"/>
        <v>1059.19</v>
      </c>
      <c r="P92" s="7">
        <v>0</v>
      </c>
      <c r="Q92" s="7">
        <v>0</v>
      </c>
    </row>
    <row r="93" spans="1:17" ht="15.75">
      <c r="A93" s="10">
        <f t="shared" si="16"/>
        <v>78</v>
      </c>
      <c r="B93" s="13" t="s">
        <v>44</v>
      </c>
      <c r="C93" s="15">
        <v>2</v>
      </c>
      <c r="D93" s="12">
        <f t="shared" si="13"/>
        <v>129082.00000000001</v>
      </c>
      <c r="E93" s="2">
        <v>6870.22</v>
      </c>
      <c r="F93" s="2">
        <v>18043.04</v>
      </c>
      <c r="G93" s="2">
        <v>0</v>
      </c>
      <c r="H93" s="2">
        <v>75639.32</v>
      </c>
      <c r="I93" s="7">
        <f t="shared" si="14"/>
        <v>100552.58000000002</v>
      </c>
      <c r="J93" s="7">
        <v>10818.5</v>
      </c>
      <c r="K93" s="2">
        <v>5782.39</v>
      </c>
      <c r="L93" s="2">
        <v>3180.92</v>
      </c>
      <c r="M93" s="2">
        <v>2687.3</v>
      </c>
      <c r="N93" s="2">
        <v>0</v>
      </c>
      <c r="O93" s="7">
        <f t="shared" si="15"/>
        <v>11650.61</v>
      </c>
      <c r="P93" s="7">
        <f>277.92+5782.39</f>
        <v>6060.31</v>
      </c>
      <c r="Q93" s="7">
        <v>0</v>
      </c>
    </row>
    <row r="94" spans="1:17" ht="15.75">
      <c r="A94" s="10">
        <f t="shared" si="16"/>
        <v>79</v>
      </c>
      <c r="B94" s="13" t="s">
        <v>44</v>
      </c>
      <c r="C94" s="15" t="s">
        <v>37</v>
      </c>
      <c r="D94" s="12">
        <f t="shared" si="13"/>
        <v>104172.68000000001</v>
      </c>
      <c r="E94" s="2">
        <v>2739.13</v>
      </c>
      <c r="F94" s="2">
        <v>15391.94</v>
      </c>
      <c r="G94" s="2">
        <v>0</v>
      </c>
      <c r="H94" s="2">
        <v>57827.6</v>
      </c>
      <c r="I94" s="7">
        <f t="shared" si="14"/>
        <v>75958.67</v>
      </c>
      <c r="J94" s="7">
        <v>8912.71</v>
      </c>
      <c r="K94" s="2">
        <v>5007</v>
      </c>
      <c r="L94" s="2">
        <v>1299.83</v>
      </c>
      <c r="M94" s="2">
        <v>2258.41</v>
      </c>
      <c r="N94" s="2">
        <v>0</v>
      </c>
      <c r="O94" s="7">
        <f t="shared" si="15"/>
        <v>8565.24</v>
      </c>
      <c r="P94" s="7">
        <v>10736.06</v>
      </c>
      <c r="Q94" s="7">
        <v>0</v>
      </c>
    </row>
    <row r="95" spans="1:17" ht="15.75">
      <c r="A95" s="10">
        <f t="shared" si="16"/>
        <v>80</v>
      </c>
      <c r="B95" s="13" t="s">
        <v>44</v>
      </c>
      <c r="C95" s="15">
        <v>3</v>
      </c>
      <c r="D95" s="12">
        <f t="shared" si="13"/>
        <v>333254.73</v>
      </c>
      <c r="E95" s="2">
        <v>7913.9</v>
      </c>
      <c r="F95" s="2">
        <v>2522.22</v>
      </c>
      <c r="G95" s="2">
        <v>0</v>
      </c>
      <c r="H95" s="2">
        <v>193673.39</v>
      </c>
      <c r="I95" s="7">
        <f t="shared" si="14"/>
        <v>204109.51</v>
      </c>
      <c r="J95" s="7">
        <v>49378.1</v>
      </c>
      <c r="K95" s="2">
        <v>32668.11</v>
      </c>
      <c r="L95" s="2">
        <v>15004.22</v>
      </c>
      <c r="M95" s="2">
        <v>0</v>
      </c>
      <c r="N95" s="2">
        <v>0</v>
      </c>
      <c r="O95" s="7">
        <f t="shared" si="15"/>
        <v>47672.33</v>
      </c>
      <c r="P95" s="7">
        <f>1756.31+30338.48</f>
        <v>32094.79</v>
      </c>
      <c r="Q95" s="7">
        <v>0</v>
      </c>
    </row>
    <row r="96" spans="1:17" ht="15.75">
      <c r="A96" s="10">
        <f t="shared" si="16"/>
        <v>81</v>
      </c>
      <c r="B96" s="13" t="s">
        <v>44</v>
      </c>
      <c r="C96" s="15">
        <v>4</v>
      </c>
      <c r="D96" s="12">
        <f t="shared" si="13"/>
        <v>237489.1</v>
      </c>
      <c r="E96" s="2">
        <v>17806.82</v>
      </c>
      <c r="F96" s="2">
        <v>52839.71</v>
      </c>
      <c r="G96" s="2">
        <v>0</v>
      </c>
      <c r="H96" s="2">
        <v>90482</v>
      </c>
      <c r="I96" s="7">
        <f t="shared" si="14"/>
        <v>161128.53</v>
      </c>
      <c r="J96" s="7">
        <v>17386.2</v>
      </c>
      <c r="K96" s="2">
        <v>8669.64</v>
      </c>
      <c r="L96" s="2">
        <v>8910.63</v>
      </c>
      <c r="M96" s="2">
        <v>2575.73</v>
      </c>
      <c r="N96" s="2">
        <v>0</v>
      </c>
      <c r="O96" s="7">
        <f t="shared" si="15"/>
        <v>20156</v>
      </c>
      <c r="P96" s="7">
        <f>663.94+38154.43</f>
        <v>38818.37</v>
      </c>
      <c r="Q96" s="7">
        <v>0</v>
      </c>
    </row>
    <row r="97" spans="1:17" ht="15.75">
      <c r="A97" s="10">
        <f t="shared" si="16"/>
        <v>82</v>
      </c>
      <c r="B97" s="13" t="s">
        <v>44</v>
      </c>
      <c r="C97" s="15">
        <v>5</v>
      </c>
      <c r="D97" s="12">
        <f t="shared" si="13"/>
        <v>179642.74</v>
      </c>
      <c r="E97" s="2">
        <v>6440.18</v>
      </c>
      <c r="F97" s="2">
        <v>7026</v>
      </c>
      <c r="G97" s="2">
        <v>0</v>
      </c>
      <c r="H97" s="2">
        <v>96433.43</v>
      </c>
      <c r="I97" s="7">
        <f t="shared" si="14"/>
        <v>109899.60999999999</v>
      </c>
      <c r="J97" s="7">
        <v>19720.97</v>
      </c>
      <c r="K97" s="2">
        <v>7551.46</v>
      </c>
      <c r="L97" s="2">
        <v>9772.36</v>
      </c>
      <c r="M97" s="2">
        <v>2501.45</v>
      </c>
      <c r="N97" s="2">
        <v>0</v>
      </c>
      <c r="O97" s="7">
        <f t="shared" si="15"/>
        <v>19825.27</v>
      </c>
      <c r="P97" s="7">
        <f>1501.63+28695.26</f>
        <v>30196.89</v>
      </c>
      <c r="Q97" s="7">
        <v>0</v>
      </c>
    </row>
    <row r="98" spans="1:17" ht="15.75">
      <c r="A98" s="10">
        <f t="shared" si="16"/>
        <v>83</v>
      </c>
      <c r="B98" s="13" t="s">
        <v>44</v>
      </c>
      <c r="C98" s="15">
        <v>7</v>
      </c>
      <c r="D98" s="12">
        <f t="shared" si="13"/>
        <v>206599.22</v>
      </c>
      <c r="E98" s="2">
        <v>15800.93</v>
      </c>
      <c r="F98" s="2">
        <v>46320.15</v>
      </c>
      <c r="G98" s="2">
        <v>0</v>
      </c>
      <c r="H98" s="2">
        <v>89434.84</v>
      </c>
      <c r="I98" s="7">
        <f t="shared" si="14"/>
        <v>151555.91999999998</v>
      </c>
      <c r="J98" s="7">
        <v>20966.63</v>
      </c>
      <c r="K98" s="2">
        <v>7915.83</v>
      </c>
      <c r="L98" s="2">
        <v>5765.66</v>
      </c>
      <c r="M98" s="2">
        <v>1124.8</v>
      </c>
      <c r="N98" s="2">
        <v>0</v>
      </c>
      <c r="O98" s="7">
        <f t="shared" si="15"/>
        <v>14806.29</v>
      </c>
      <c r="P98" s="7">
        <f>524.96+18745.42</f>
        <v>19270.379999999997</v>
      </c>
      <c r="Q98" s="7">
        <v>0</v>
      </c>
    </row>
    <row r="99" spans="1:17" ht="15.75">
      <c r="A99" s="10">
        <f t="shared" si="16"/>
        <v>84</v>
      </c>
      <c r="B99" s="13" t="s">
        <v>44</v>
      </c>
      <c r="C99" s="15">
        <v>9</v>
      </c>
      <c r="D99" s="12">
        <f t="shared" si="13"/>
        <v>235940.03999999998</v>
      </c>
      <c r="E99" s="2">
        <v>9023.37</v>
      </c>
      <c r="F99" s="2">
        <v>23361.79</v>
      </c>
      <c r="G99" s="2">
        <v>0</v>
      </c>
      <c r="H99" s="2">
        <v>115599.6</v>
      </c>
      <c r="I99" s="7">
        <f t="shared" si="14"/>
        <v>147984.76</v>
      </c>
      <c r="J99" s="7">
        <v>28669.24</v>
      </c>
      <c r="K99" s="2">
        <v>10515.9</v>
      </c>
      <c r="L99" s="2">
        <v>8275.05</v>
      </c>
      <c r="M99" s="2">
        <v>1270.7</v>
      </c>
      <c r="N99" s="2">
        <v>0</v>
      </c>
      <c r="O99" s="7">
        <f t="shared" si="15"/>
        <v>20061.65</v>
      </c>
      <c r="P99" s="7">
        <f>1019.04+38205.35</f>
        <v>39224.39</v>
      </c>
      <c r="Q99" s="7">
        <v>0</v>
      </c>
    </row>
    <row r="100" spans="1:17" ht="15.75">
      <c r="A100" s="10">
        <f t="shared" si="16"/>
        <v>85</v>
      </c>
      <c r="B100" s="13" t="s">
        <v>45</v>
      </c>
      <c r="C100" s="15">
        <v>1</v>
      </c>
      <c r="D100" s="12">
        <f t="shared" si="13"/>
        <v>10010.17</v>
      </c>
      <c r="E100" s="2">
        <v>1224.2</v>
      </c>
      <c r="F100" s="2">
        <v>6305.42</v>
      </c>
      <c r="G100" s="2">
        <v>0</v>
      </c>
      <c r="H100" s="2">
        <v>0</v>
      </c>
      <c r="I100" s="7">
        <f aca="true" t="shared" si="17" ref="I100:I110">H100+G100+F100+E100</f>
        <v>7529.62</v>
      </c>
      <c r="J100" s="7">
        <v>0</v>
      </c>
      <c r="K100" s="2">
        <v>0</v>
      </c>
      <c r="L100" s="2">
        <v>475.89</v>
      </c>
      <c r="M100" s="2">
        <v>0</v>
      </c>
      <c r="N100" s="2">
        <v>2004.66</v>
      </c>
      <c r="O100" s="7">
        <f>M100+L100+K100+N100</f>
        <v>2480.55</v>
      </c>
      <c r="P100" s="7">
        <v>0</v>
      </c>
      <c r="Q100" s="7">
        <v>0</v>
      </c>
    </row>
    <row r="101" spans="1:17" ht="15.75">
      <c r="A101" s="10">
        <f aca="true" t="shared" si="18" ref="A101:A110">A89+1</f>
        <v>75</v>
      </c>
      <c r="B101" s="13" t="s">
        <v>45</v>
      </c>
      <c r="C101" s="15">
        <v>4</v>
      </c>
      <c r="D101" s="12">
        <f aca="true" t="shared" si="19" ref="D101:D110">I101+J101+O101+P101+Q101</f>
        <v>5991.4400000000005</v>
      </c>
      <c r="E101" s="2">
        <v>331.18</v>
      </c>
      <c r="F101" s="2">
        <v>1712.82</v>
      </c>
      <c r="G101" s="2">
        <v>0</v>
      </c>
      <c r="H101" s="2">
        <v>3277.39</v>
      </c>
      <c r="I101" s="7">
        <f t="shared" si="17"/>
        <v>5321.39</v>
      </c>
      <c r="J101" s="7">
        <v>541.31</v>
      </c>
      <c r="K101" s="2">
        <v>0</v>
      </c>
      <c r="L101" s="2">
        <v>128.74</v>
      </c>
      <c r="M101" s="2">
        <v>0</v>
      </c>
      <c r="N101" s="2">
        <v>0</v>
      </c>
      <c r="O101" s="7">
        <f aca="true" t="shared" si="20" ref="O101:O110">M101+L101+K101</f>
        <v>128.74</v>
      </c>
      <c r="P101" s="7">
        <v>0</v>
      </c>
      <c r="Q101" s="7">
        <v>0</v>
      </c>
    </row>
    <row r="102" spans="1:17" ht="15.75">
      <c r="A102" s="10">
        <f t="shared" si="18"/>
        <v>76</v>
      </c>
      <c r="B102" s="13" t="s">
        <v>45</v>
      </c>
      <c r="C102" s="15">
        <v>6</v>
      </c>
      <c r="D102" s="12">
        <f t="shared" si="19"/>
        <v>21496.09</v>
      </c>
      <c r="E102" s="2">
        <v>3213.19</v>
      </c>
      <c r="F102" s="2">
        <v>7245.47</v>
      </c>
      <c r="G102" s="2">
        <v>0</v>
      </c>
      <c r="H102" s="2">
        <v>7858.38</v>
      </c>
      <c r="I102" s="7">
        <f t="shared" si="17"/>
        <v>18317.04</v>
      </c>
      <c r="J102" s="7">
        <v>0</v>
      </c>
      <c r="K102" s="2">
        <v>0</v>
      </c>
      <c r="L102" s="2">
        <v>579.98</v>
      </c>
      <c r="M102" s="2">
        <v>0</v>
      </c>
      <c r="N102" s="2">
        <v>0</v>
      </c>
      <c r="O102" s="7">
        <f t="shared" si="20"/>
        <v>579.98</v>
      </c>
      <c r="P102" s="7">
        <v>2599.07</v>
      </c>
      <c r="Q102" s="7">
        <v>0</v>
      </c>
    </row>
    <row r="103" spans="1:17" ht="15.75">
      <c r="A103" s="10">
        <f t="shared" si="18"/>
        <v>77</v>
      </c>
      <c r="B103" s="13" t="s">
        <v>45</v>
      </c>
      <c r="C103" s="15">
        <v>8</v>
      </c>
      <c r="D103" s="12">
        <f t="shared" si="19"/>
        <v>2951.17</v>
      </c>
      <c r="E103" s="2">
        <v>165.59</v>
      </c>
      <c r="F103" s="2">
        <v>856.41</v>
      </c>
      <c r="G103" s="2">
        <v>0</v>
      </c>
      <c r="H103" s="2">
        <v>1864.8</v>
      </c>
      <c r="I103" s="7">
        <f t="shared" si="17"/>
        <v>2886.8</v>
      </c>
      <c r="J103" s="7">
        <v>0</v>
      </c>
      <c r="K103" s="2">
        <v>0</v>
      </c>
      <c r="L103" s="2">
        <v>64.37</v>
      </c>
      <c r="M103" s="2">
        <v>0</v>
      </c>
      <c r="N103" s="2">
        <v>0</v>
      </c>
      <c r="O103" s="7">
        <f t="shared" si="20"/>
        <v>64.37</v>
      </c>
      <c r="P103" s="7">
        <v>0</v>
      </c>
      <c r="Q103" s="7">
        <v>0</v>
      </c>
    </row>
    <row r="104" spans="1:17" ht="15.75">
      <c r="A104" s="10">
        <f t="shared" si="18"/>
        <v>78</v>
      </c>
      <c r="B104" s="13" t="s">
        <v>45</v>
      </c>
      <c r="C104" s="15">
        <v>9</v>
      </c>
      <c r="D104" s="12">
        <f t="shared" si="19"/>
        <v>749119.83</v>
      </c>
      <c r="E104" s="2">
        <v>50702.43</v>
      </c>
      <c r="F104" s="2">
        <v>120811.68</v>
      </c>
      <c r="G104" s="2">
        <v>0</v>
      </c>
      <c r="H104" s="2">
        <v>326727.07</v>
      </c>
      <c r="I104" s="7">
        <f t="shared" si="17"/>
        <v>498241.18</v>
      </c>
      <c r="J104" s="7">
        <v>46507.41</v>
      </c>
      <c r="K104" s="2">
        <v>34586.94</v>
      </c>
      <c r="L104" s="2">
        <v>22623.74</v>
      </c>
      <c r="M104" s="2">
        <v>13276.91</v>
      </c>
      <c r="N104" s="2">
        <v>0</v>
      </c>
      <c r="O104" s="7">
        <f t="shared" si="20"/>
        <v>70487.59</v>
      </c>
      <c r="P104" s="7">
        <f>2788.05+89786.02</f>
        <v>92574.07</v>
      </c>
      <c r="Q104" s="7">
        <v>41309.58</v>
      </c>
    </row>
    <row r="105" spans="1:17" ht="15.75">
      <c r="A105" s="10">
        <f t="shared" si="18"/>
        <v>79</v>
      </c>
      <c r="B105" s="13" t="s">
        <v>45</v>
      </c>
      <c r="C105" s="15">
        <v>10</v>
      </c>
      <c r="D105" s="12">
        <f t="shared" si="19"/>
        <v>43803.3</v>
      </c>
      <c r="E105" s="2">
        <v>6397.4</v>
      </c>
      <c r="F105" s="2">
        <v>11164.96</v>
      </c>
      <c r="G105" s="2">
        <v>0</v>
      </c>
      <c r="H105" s="2">
        <v>23548.86</v>
      </c>
      <c r="I105" s="7">
        <f t="shared" si="17"/>
        <v>41111.22</v>
      </c>
      <c r="J105" s="7">
        <v>0</v>
      </c>
      <c r="K105" s="2">
        <v>0</v>
      </c>
      <c r="L105" s="2">
        <v>2692.08</v>
      </c>
      <c r="M105" s="2">
        <v>0</v>
      </c>
      <c r="N105" s="2">
        <v>0</v>
      </c>
      <c r="O105" s="7">
        <f t="shared" si="20"/>
        <v>2692.08</v>
      </c>
      <c r="P105" s="7">
        <v>0</v>
      </c>
      <c r="Q105" s="7">
        <v>0</v>
      </c>
    </row>
    <row r="106" spans="1:17" ht="15.75">
      <c r="A106" s="10">
        <f t="shared" si="18"/>
        <v>80</v>
      </c>
      <c r="B106" s="13" t="s">
        <v>45</v>
      </c>
      <c r="C106" s="15">
        <v>11</v>
      </c>
      <c r="D106" s="12">
        <f t="shared" si="19"/>
        <v>316583.13000000006</v>
      </c>
      <c r="E106" s="2">
        <v>9538.79</v>
      </c>
      <c r="F106" s="2">
        <v>34299.36</v>
      </c>
      <c r="G106" s="2">
        <v>0</v>
      </c>
      <c r="H106" s="2">
        <v>143409.04</v>
      </c>
      <c r="I106" s="7">
        <f t="shared" si="17"/>
        <v>187247.19000000003</v>
      </c>
      <c r="J106" s="7">
        <v>22593.18</v>
      </c>
      <c r="K106" s="2">
        <v>10124.13</v>
      </c>
      <c r="L106" s="2">
        <v>3047.23</v>
      </c>
      <c r="M106" s="2">
        <v>6514.2</v>
      </c>
      <c r="N106" s="2">
        <v>0</v>
      </c>
      <c r="O106" s="7">
        <f t="shared" si="20"/>
        <v>19685.559999999998</v>
      </c>
      <c r="P106" s="7">
        <f>470.23+48781.9</f>
        <v>49252.130000000005</v>
      </c>
      <c r="Q106" s="7">
        <v>37805.07</v>
      </c>
    </row>
    <row r="107" spans="1:17" ht="15.75">
      <c r="A107" s="10">
        <f t="shared" si="18"/>
        <v>81</v>
      </c>
      <c r="B107" s="13" t="s">
        <v>45</v>
      </c>
      <c r="C107" s="15">
        <v>12</v>
      </c>
      <c r="D107" s="12">
        <f t="shared" si="19"/>
        <v>29414.629999999997</v>
      </c>
      <c r="E107" s="2">
        <v>1965.21</v>
      </c>
      <c r="F107" s="2">
        <v>8643.06</v>
      </c>
      <c r="G107" s="2">
        <v>0</v>
      </c>
      <c r="H107" s="2">
        <v>17346.32</v>
      </c>
      <c r="I107" s="7">
        <f t="shared" si="17"/>
        <v>27954.589999999997</v>
      </c>
      <c r="J107" s="7">
        <v>0</v>
      </c>
      <c r="K107" s="2">
        <v>0</v>
      </c>
      <c r="L107" s="2">
        <v>1460.04</v>
      </c>
      <c r="M107" s="2">
        <v>0</v>
      </c>
      <c r="N107" s="2">
        <v>0</v>
      </c>
      <c r="O107" s="7">
        <f t="shared" si="20"/>
        <v>1460.04</v>
      </c>
      <c r="P107" s="7">
        <v>0</v>
      </c>
      <c r="Q107" s="7">
        <v>0</v>
      </c>
    </row>
    <row r="108" spans="1:17" ht="15.75">
      <c r="A108" s="10">
        <f t="shared" si="18"/>
        <v>82</v>
      </c>
      <c r="B108" s="13" t="s">
        <v>45</v>
      </c>
      <c r="C108" s="15">
        <v>14</v>
      </c>
      <c r="D108" s="12">
        <f t="shared" si="19"/>
        <v>151.81999999999988</v>
      </c>
      <c r="E108" s="2">
        <v>-478.72</v>
      </c>
      <c r="F108" s="2">
        <v>-270.18</v>
      </c>
      <c r="G108" s="2">
        <v>0</v>
      </c>
      <c r="H108" s="2">
        <v>918.04</v>
      </c>
      <c r="I108" s="7">
        <f t="shared" si="17"/>
        <v>169.13999999999987</v>
      </c>
      <c r="J108" s="7">
        <v>0</v>
      </c>
      <c r="K108" s="2">
        <v>0</v>
      </c>
      <c r="L108" s="2">
        <v>-17.32</v>
      </c>
      <c r="M108" s="2">
        <v>0</v>
      </c>
      <c r="N108" s="2">
        <v>0</v>
      </c>
      <c r="O108" s="7">
        <f t="shared" si="20"/>
        <v>-17.32</v>
      </c>
      <c r="P108" s="7">
        <v>0</v>
      </c>
      <c r="Q108" s="7">
        <v>0</v>
      </c>
    </row>
    <row r="109" spans="1:17" ht="15.75">
      <c r="A109" s="10">
        <f t="shared" si="18"/>
        <v>83</v>
      </c>
      <c r="B109" s="13" t="s">
        <v>45</v>
      </c>
      <c r="C109" s="15">
        <v>15</v>
      </c>
      <c r="D109" s="12">
        <f t="shared" si="19"/>
        <v>13697.86</v>
      </c>
      <c r="E109" s="2">
        <v>2318.26</v>
      </c>
      <c r="F109" s="2">
        <v>10478.42</v>
      </c>
      <c r="G109" s="2">
        <v>0</v>
      </c>
      <c r="H109" s="2">
        <v>0</v>
      </c>
      <c r="I109" s="7">
        <f t="shared" si="17"/>
        <v>12796.68</v>
      </c>
      <c r="J109" s="7">
        <v>0</v>
      </c>
      <c r="K109" s="2">
        <v>0</v>
      </c>
      <c r="L109" s="2">
        <v>901.18</v>
      </c>
      <c r="M109" s="2">
        <v>0</v>
      </c>
      <c r="N109" s="2">
        <v>0</v>
      </c>
      <c r="O109" s="7">
        <f t="shared" si="20"/>
        <v>901.18</v>
      </c>
      <c r="P109" s="7">
        <v>0</v>
      </c>
      <c r="Q109" s="7">
        <v>0</v>
      </c>
    </row>
    <row r="110" spans="1:17" ht="15.75">
      <c r="A110" s="10">
        <f t="shared" si="18"/>
        <v>84</v>
      </c>
      <c r="B110" s="13" t="s">
        <v>45</v>
      </c>
      <c r="C110" s="15">
        <v>24</v>
      </c>
      <c r="D110" s="12">
        <f t="shared" si="19"/>
        <v>6470.96</v>
      </c>
      <c r="E110" s="2">
        <v>304.22</v>
      </c>
      <c r="F110" s="2">
        <v>226.84</v>
      </c>
      <c r="G110" s="2">
        <v>0</v>
      </c>
      <c r="H110" s="2">
        <v>0</v>
      </c>
      <c r="I110" s="7">
        <f t="shared" si="17"/>
        <v>531.0600000000001</v>
      </c>
      <c r="J110" s="7">
        <v>5236</v>
      </c>
      <c r="K110" s="2">
        <v>0</v>
      </c>
      <c r="L110" s="2">
        <v>673.02</v>
      </c>
      <c r="M110" s="2">
        <v>0</v>
      </c>
      <c r="N110" s="2">
        <v>0</v>
      </c>
      <c r="O110" s="7">
        <f t="shared" si="20"/>
        <v>673.02</v>
      </c>
      <c r="P110" s="7">
        <v>30.88</v>
      </c>
      <c r="Q110" s="7">
        <v>0</v>
      </c>
    </row>
    <row r="111" spans="1:17" ht="15.75">
      <c r="A111" s="10">
        <f>A99+1</f>
        <v>85</v>
      </c>
      <c r="B111" s="13" t="s">
        <v>45</v>
      </c>
      <c r="C111" s="15">
        <v>26</v>
      </c>
      <c r="D111" s="12">
        <f aca="true" t="shared" si="21" ref="D111:D116">I111+J111+O111+P111+Q111</f>
        <v>12488.24</v>
      </c>
      <c r="E111" s="2">
        <v>608.44</v>
      </c>
      <c r="F111" s="2">
        <v>0</v>
      </c>
      <c r="G111" s="2">
        <v>0</v>
      </c>
      <c r="H111" s="2">
        <v>0</v>
      </c>
      <c r="I111" s="7">
        <f aca="true" t="shared" si="22" ref="I111:I116">H111+G111+F111+E111</f>
        <v>608.44</v>
      </c>
      <c r="J111" s="7">
        <v>10472</v>
      </c>
      <c r="K111" s="2">
        <v>0</v>
      </c>
      <c r="L111" s="2">
        <v>1346.04</v>
      </c>
      <c r="M111" s="2">
        <v>0</v>
      </c>
      <c r="N111" s="2">
        <v>0</v>
      </c>
      <c r="O111" s="7">
        <f aca="true" t="shared" si="23" ref="O111:O116">M111+L111+K111</f>
        <v>1346.04</v>
      </c>
      <c r="P111" s="7">
        <v>61.76</v>
      </c>
      <c r="Q111" s="7">
        <v>0</v>
      </c>
    </row>
    <row r="112" spans="1:17" ht="15.75">
      <c r="A112" s="10">
        <f>A111+1</f>
        <v>86</v>
      </c>
      <c r="B112" s="13" t="s">
        <v>45</v>
      </c>
      <c r="C112" s="15">
        <v>28</v>
      </c>
      <c r="D112" s="12">
        <f t="shared" si="21"/>
        <v>8379.519999999999</v>
      </c>
      <c r="E112" s="2">
        <v>5048.73</v>
      </c>
      <c r="F112" s="2">
        <v>0</v>
      </c>
      <c r="G112" s="2">
        <v>0</v>
      </c>
      <c r="H112" s="2">
        <v>0</v>
      </c>
      <c r="I112" s="7">
        <f t="shared" si="22"/>
        <v>5048.73</v>
      </c>
      <c r="J112" s="7">
        <v>0</v>
      </c>
      <c r="K112" s="2">
        <v>0</v>
      </c>
      <c r="L112" s="2">
        <v>1725.03</v>
      </c>
      <c r="M112" s="2">
        <v>0</v>
      </c>
      <c r="N112" s="2">
        <v>0</v>
      </c>
      <c r="O112" s="7">
        <f t="shared" si="23"/>
        <v>1725.03</v>
      </c>
      <c r="P112" s="7">
        <v>1605.76</v>
      </c>
      <c r="Q112" s="7">
        <v>0</v>
      </c>
    </row>
    <row r="113" spans="1:17" ht="15.75">
      <c r="A113" s="10">
        <f>A112+1</f>
        <v>87</v>
      </c>
      <c r="B113" s="13" t="s">
        <v>46</v>
      </c>
      <c r="C113" s="15">
        <v>6</v>
      </c>
      <c r="D113" s="12">
        <f t="shared" si="21"/>
        <v>4133.92</v>
      </c>
      <c r="E113" s="2">
        <v>165.59</v>
      </c>
      <c r="F113" s="2">
        <v>856.41</v>
      </c>
      <c r="G113" s="2">
        <v>0</v>
      </c>
      <c r="H113" s="2">
        <v>3047.55</v>
      </c>
      <c r="I113" s="7">
        <f t="shared" si="22"/>
        <v>4069.55</v>
      </c>
      <c r="J113" s="7">
        <v>0</v>
      </c>
      <c r="K113" s="2">
        <v>0</v>
      </c>
      <c r="L113" s="2">
        <v>64.37</v>
      </c>
      <c r="M113" s="2">
        <v>0</v>
      </c>
      <c r="N113" s="2">
        <v>0</v>
      </c>
      <c r="O113" s="7">
        <f t="shared" si="23"/>
        <v>64.37</v>
      </c>
      <c r="P113" s="7">
        <v>0</v>
      </c>
      <c r="Q113" s="7">
        <v>0</v>
      </c>
    </row>
    <row r="114" spans="1:17" ht="15.75">
      <c r="A114" s="10">
        <f>A110+1</f>
        <v>85</v>
      </c>
      <c r="B114" s="13" t="s">
        <v>46</v>
      </c>
      <c r="C114" s="15">
        <v>8</v>
      </c>
      <c r="D114" s="12">
        <f t="shared" si="21"/>
        <v>25319.22</v>
      </c>
      <c r="E114" s="2">
        <v>3007.93</v>
      </c>
      <c r="F114" s="2">
        <v>6689.38</v>
      </c>
      <c r="G114" s="2">
        <v>0</v>
      </c>
      <c r="H114" s="2">
        <v>14614.26</v>
      </c>
      <c r="I114" s="7">
        <f t="shared" si="22"/>
        <v>24311.57</v>
      </c>
      <c r="J114" s="7">
        <v>0</v>
      </c>
      <c r="K114" s="2">
        <v>0</v>
      </c>
      <c r="L114" s="2">
        <v>1007.65</v>
      </c>
      <c r="M114" s="2">
        <v>0</v>
      </c>
      <c r="N114" s="2">
        <v>0</v>
      </c>
      <c r="O114" s="7">
        <f t="shared" si="23"/>
        <v>1007.65</v>
      </c>
      <c r="P114" s="7">
        <v>0</v>
      </c>
      <c r="Q114" s="7">
        <v>0</v>
      </c>
    </row>
    <row r="115" spans="1:17" ht="15.75">
      <c r="A115" s="10">
        <f>A111+1</f>
        <v>86</v>
      </c>
      <c r="B115" s="13" t="s">
        <v>46</v>
      </c>
      <c r="C115" s="15">
        <v>10</v>
      </c>
      <c r="D115" s="12">
        <f t="shared" si="21"/>
        <v>20383.450000000004</v>
      </c>
      <c r="E115" s="2">
        <v>827.95</v>
      </c>
      <c r="F115" s="2">
        <v>4282.05</v>
      </c>
      <c r="G115" s="2">
        <v>0</v>
      </c>
      <c r="H115" s="2">
        <v>10261.56</v>
      </c>
      <c r="I115" s="7">
        <f t="shared" si="22"/>
        <v>15371.560000000001</v>
      </c>
      <c r="J115" s="7">
        <v>431.2</v>
      </c>
      <c r="K115" s="2">
        <v>0</v>
      </c>
      <c r="L115" s="2">
        <v>74.6</v>
      </c>
      <c r="M115" s="2">
        <v>0</v>
      </c>
      <c r="N115" s="2">
        <v>0</v>
      </c>
      <c r="O115" s="7">
        <f t="shared" si="23"/>
        <v>74.6</v>
      </c>
      <c r="P115" s="7">
        <v>0</v>
      </c>
      <c r="Q115" s="7">
        <v>4506.09</v>
      </c>
    </row>
    <row r="116" spans="1:17" ht="16.5" thickBot="1">
      <c r="A116" s="10">
        <f>A112+1</f>
        <v>87</v>
      </c>
      <c r="B116" s="13" t="s">
        <v>46</v>
      </c>
      <c r="C116" s="15">
        <v>12</v>
      </c>
      <c r="D116" s="12">
        <f t="shared" si="21"/>
        <v>128294.19000000002</v>
      </c>
      <c r="E116" s="2">
        <v>10729.98</v>
      </c>
      <c r="F116" s="2">
        <v>29363.13</v>
      </c>
      <c r="G116" s="2">
        <v>0</v>
      </c>
      <c r="H116" s="2">
        <v>71140.38</v>
      </c>
      <c r="I116" s="7">
        <f t="shared" si="22"/>
        <v>111233.49</v>
      </c>
      <c r="J116" s="7">
        <v>12195.88</v>
      </c>
      <c r="K116" s="2">
        <v>-22271.85</v>
      </c>
      <c r="L116" s="2">
        <v>4523.09</v>
      </c>
      <c r="M116" s="2">
        <v>0</v>
      </c>
      <c r="N116" s="2">
        <v>0</v>
      </c>
      <c r="O116" s="7">
        <f t="shared" si="23"/>
        <v>-17748.76</v>
      </c>
      <c r="P116" s="7">
        <f>463.2+15109.03</f>
        <v>15572.230000000001</v>
      </c>
      <c r="Q116" s="7">
        <v>7041.35</v>
      </c>
    </row>
    <row r="117" spans="1:17" s="6" customFormat="1" ht="16.5" thickBot="1">
      <c r="A117" s="36" t="s">
        <v>47</v>
      </c>
      <c r="B117" s="37"/>
      <c r="C117" s="38"/>
      <c r="D117" s="22">
        <f>SUM(D81:D116)</f>
        <v>3390144.4799999995</v>
      </c>
      <c r="E117" s="23">
        <f>SUM(E81:E116)</f>
        <v>192785.82</v>
      </c>
      <c r="F117" s="23">
        <f>SUM(F81:F116)</f>
        <v>492620.02999999997</v>
      </c>
      <c r="G117" s="23">
        <f>SUM(G98:G116)</f>
        <v>0</v>
      </c>
      <c r="H117" s="23">
        <f aca="true" t="shared" si="24" ref="H117:M117">SUM(H81:H116)</f>
        <v>1629761.1500000004</v>
      </c>
      <c r="I117" s="24">
        <f t="shared" si="24"/>
        <v>2315167</v>
      </c>
      <c r="J117" s="24">
        <f t="shared" si="24"/>
        <v>309246.77</v>
      </c>
      <c r="K117" s="23">
        <f t="shared" si="24"/>
        <v>112316.63999999998</v>
      </c>
      <c r="L117" s="23">
        <f t="shared" si="24"/>
        <v>110530.36999999997</v>
      </c>
      <c r="M117" s="23">
        <f t="shared" si="24"/>
        <v>34477.46</v>
      </c>
      <c r="N117" s="23">
        <f>SUM(N116)</f>
        <v>0</v>
      </c>
      <c r="O117" s="24">
        <f>SUM(O81:O116)</f>
        <v>261753.36999999994</v>
      </c>
      <c r="P117" s="24">
        <f>SUM(P81:P116)</f>
        <v>413315.25000000006</v>
      </c>
      <c r="Q117" s="25">
        <f>SUM(Q111:Q116)</f>
        <v>11547.44</v>
      </c>
    </row>
    <row r="118" spans="1:17" s="6" customFormat="1" ht="15.75" customHeight="1" thickBot="1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</row>
    <row r="119" spans="1:17" s="6" customFormat="1" ht="16.5" thickBot="1">
      <c r="A119" s="40" t="s">
        <v>48</v>
      </c>
      <c r="B119" s="41"/>
      <c r="C119" s="41"/>
      <c r="D119" s="30">
        <f>D117+D79</f>
        <v>19889937.66</v>
      </c>
      <c r="E119" s="30">
        <f aca="true" t="shared" si="25" ref="E119:Q119">E117+E79</f>
        <v>1252675.12</v>
      </c>
      <c r="F119" s="30">
        <f t="shared" si="25"/>
        <v>1524062.8599999999</v>
      </c>
      <c r="G119" s="30">
        <f t="shared" si="25"/>
        <v>1960608.2099999997</v>
      </c>
      <c r="H119" s="30">
        <f t="shared" si="25"/>
        <v>9240691.580000002</v>
      </c>
      <c r="I119" s="30">
        <f t="shared" si="25"/>
        <v>13978037.77</v>
      </c>
      <c r="J119" s="30">
        <f t="shared" si="25"/>
        <v>1026966.5499999998</v>
      </c>
      <c r="K119" s="30">
        <f t="shared" si="25"/>
        <v>846288.9600000001</v>
      </c>
      <c r="L119" s="30">
        <f t="shared" si="25"/>
        <v>492048.79999999993</v>
      </c>
      <c r="M119" s="30">
        <f t="shared" si="25"/>
        <v>676472.6799999999</v>
      </c>
      <c r="N119" s="30">
        <f t="shared" si="25"/>
        <v>145494.84</v>
      </c>
      <c r="O119" s="30">
        <f t="shared" si="25"/>
        <v>2164734.1799999997</v>
      </c>
      <c r="P119" s="30">
        <f t="shared" si="25"/>
        <v>2061064.27</v>
      </c>
      <c r="Q119" s="30">
        <f t="shared" si="25"/>
        <v>580020.24</v>
      </c>
    </row>
    <row r="120" spans="1:17" s="6" customFormat="1" ht="15.7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42"/>
    </row>
  </sheetData>
  <mergeCells count="27">
    <mergeCell ref="A78:Q78"/>
    <mergeCell ref="A79:C79"/>
    <mergeCell ref="A80:Q80"/>
    <mergeCell ref="A42:C42"/>
    <mergeCell ref="A52:C52"/>
    <mergeCell ref="A54:C54"/>
    <mergeCell ref="A77:C77"/>
    <mergeCell ref="A120:Q120"/>
    <mergeCell ref="P3:P4"/>
    <mergeCell ref="Q3:Q4"/>
    <mergeCell ref="A18:C18"/>
    <mergeCell ref="A26:C26"/>
    <mergeCell ref="E3:H3"/>
    <mergeCell ref="I3:I4"/>
    <mergeCell ref="J3:J4"/>
    <mergeCell ref="O3:O4"/>
    <mergeCell ref="K3:M3"/>
    <mergeCell ref="A1:D2"/>
    <mergeCell ref="A117:C117"/>
    <mergeCell ref="A118:Q118"/>
    <mergeCell ref="A119:C119"/>
    <mergeCell ref="D3:D4"/>
    <mergeCell ref="C3:C4"/>
    <mergeCell ref="B3:B4"/>
    <mergeCell ref="A3:A4"/>
    <mergeCell ref="A71:C71"/>
    <mergeCell ref="A30:C30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  <rowBreaks count="2" manualBreakCount="2">
    <brk id="30" max="255" man="1"/>
    <brk id="71" max="25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palana.adm</cp:lastModifiedBy>
  <cp:lastPrinted>2010-03-01T04:19:50Z</cp:lastPrinted>
  <dcterms:created xsi:type="dcterms:W3CDTF">1996-10-08T23:32:33Z</dcterms:created>
  <dcterms:modified xsi:type="dcterms:W3CDTF">2010-03-03T06:08:06Z</dcterms:modified>
  <cp:category/>
  <cp:version/>
  <cp:contentType/>
  <cp:contentStatus/>
</cp:coreProperties>
</file>